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jli74\Desktop\0112 NC schedule\Jun\"/>
    </mc:Choice>
  </mc:AlternateContent>
  <bookViews>
    <workbookView xWindow="0" yWindow="0" windowWidth="20385" windowHeight="7950" tabRatio="627" activeTab="3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E13" i="6"/>
  <c r="F13" i="6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<sst xmlns="http://schemas.openxmlformats.org/spreadsheetml/2006/main" count="9863" uniqueCount="4933">
  <si>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</si>
  <si>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</si>
  <si>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</si>
  <si>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</si>
  <si>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</si>
  <si>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</si>
  <si>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</si>
  <si>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</si>
  <si>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</si>
  <si>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</si>
  <si>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</si>
  <si>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</si>
  <si>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</si>
  <si>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</si>
  <si>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</si>
  <si>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</si>
  <si>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</si>
  <si>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</si>
  <si>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</si>
  <si>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</si>
  <si>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</si>
  <si>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</si>
  <si>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</si>
  <si>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</si>
  <si>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</si>
  <si>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</si>
  <si>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</si>
  <si>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</si>
  <si>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</si>
  <si>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</si>
  <si>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</si>
  <si>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</si>
  <si>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</si>
  <si>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</si>
  <si>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</si>
  <si>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</si>
  <si>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</si>
  <si>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</si>
  <si>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</si>
  <si>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</si>
  <si>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</si>
  <si>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</si>
  <si>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</si>
  <si>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</si>
  <si>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</si>
  <si>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</si>
  <si>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</si>
  <si>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</si>
  <si>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</si>
  <si>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</si>
  <si>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</si>
  <si>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</si>
  <si>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</si>
  <si>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</si>
  <si>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</si>
  <si>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</si>
  <si>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</si>
  <si>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</si>
  <si>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</si>
  <si>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</si>
  <si>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</si>
  <si>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</si>
  <si>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</si>
  <si>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</si>
  <si>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</si>
  <si>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</si>
  <si>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</si>
  <si>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</si>
  <si>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</si>
  <si>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</si>
  <si>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</si>
  <si>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</si>
  <si>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</si>
  <si>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</si>
  <si>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</si>
  <si>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</si>
  <si>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</si>
  <si>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</si>
  <si>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</si>
  <si>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</si>
  <si>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</si>
  <si>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</si>
  <si>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</si>
  <si>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</si>
  <si>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</si>
  <si>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</si>
  <si>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</si>
  <si>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</si>
  <si>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</si>
  <si>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</si>
  <si>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</si>
  <si>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</si>
  <si>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</si>
  <si>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</si>
  <si>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</si>
  <si>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</si>
  <si>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</si>
  <si>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</si>
  <si>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</si>
  <si>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</si>
  <si>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</si>
  <si>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</si>
  <si>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</si>
  <si>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</si>
  <si>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</si>
  <si>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</si>
  <si>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</si>
  <si>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</si>
  <si>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</si>
  <si>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</si>
  <si>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</si>
  <si>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</si>
  <si>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</si>
  <si>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</si>
  <si>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</si>
  <si>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</si>
  <si>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</si>
  <si>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</si>
  <si>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</si>
  <si>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</si>
  <si>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</si>
  <si>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</si>
  <si>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</si>
  <si>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</si>
  <si>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</si>
  <si>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</si>
  <si>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</si>
  <si>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</si>
  <si>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</si>
  <si>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</si>
  <si>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</si>
  <si>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</si>
  <si>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</si>
  <si>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</si>
  <si>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</si>
  <si>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</si>
  <si>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</si>
  <si>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</si>
  <si>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</si>
  <si>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</si>
  <si>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</si>
  <si>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</si>
  <si>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</si>
  <si>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</si>
  <si>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</si>
  <si>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</si>
  <si>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</si>
  <si>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</si>
  <si>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</si>
  <si>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</si>
  <si>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</si>
  <si>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</si>
  <si>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</si>
  <si>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</si>
  <si>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</si>
  <si>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</si>
  <si>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</si>
  <si>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</si>
  <si>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</si>
  <si>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</si>
  <si>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</si>
  <si>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</si>
  <si>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</si>
  <si>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</si>
  <si>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</si>
  <si>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</si>
  <si>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</si>
  <si>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</si>
  <si>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</si>
  <si>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</si>
  <si>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</si>
  <si>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</si>
  <si>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</si>
  <si>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</si>
  <si>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</si>
  <si>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</si>
  <si>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</si>
  <si>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</si>
  <si>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</si>
  <si>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</si>
  <si>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</si>
  <si>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</si>
  <si>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</si>
  <si>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</si>
  <si>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</si>
  <si>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</si>
  <si>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</si>
  <si>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</si>
  <si>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</si>
  <si>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</si>
  <si>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</si>
  <si>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</si>
  <si>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</si>
  <si>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</si>
  <si>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</si>
  <si>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</si>
  <si>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</si>
  <si>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</si>
  <si>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</si>
  <si>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</si>
  <si>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</si>
  <si>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</si>
  <si>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</si>
  <si>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</si>
  <si>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</si>
  <si>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</si>
  <si>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</si>
  <si>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</si>
  <si>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</si>
  <si>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</si>
  <si>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</si>
  <si>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</si>
  <si>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</si>
  <si>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</si>
  <si>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</si>
  <si>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</si>
  <si>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</si>
  <si>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</si>
  <si>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</si>
  <si>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</si>
  <si>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</si>
  <si>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</si>
  <si>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</si>
  <si>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</si>
  <si>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</si>
  <si>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</si>
  <si>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</si>
  <si>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</si>
  <si>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</si>
  <si>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</si>
  <si>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</si>
  <si>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</si>
  <si>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</si>
  <si>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</si>
  <si>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</si>
  <si>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</si>
  <si>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</si>
  <si>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</si>
  <si>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</si>
  <si>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</si>
  <si>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</si>
  <si>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</si>
  <si>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</si>
  <si>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</si>
  <si>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</si>
  <si>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</si>
  <si>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</si>
  <si>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</si>
  <si>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</si>
  <si>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</si>
  <si>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</si>
  <si>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</si>
  <si>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</si>
  <si>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</si>
  <si>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</si>
  <si>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</si>
  <si>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</si>
  <si>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</si>
  <si>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</si>
  <si>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</si>
  <si>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</si>
  <si>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</si>
  <si>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</si>
  <si>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</si>
  <si>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</si>
  <si>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</si>
  <si>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</si>
  <si>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</si>
  <si>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</si>
  <si>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</si>
  <si>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</si>
  <si>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</si>
  <si>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</si>
  <si>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</si>
  <si>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</si>
  <si>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</si>
  <si>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</si>
  <si>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</si>
  <si>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</si>
  <si>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</si>
  <si>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</si>
  <si>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</si>
  <si>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</si>
  <si>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</si>
  <si>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</si>
  <si>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</si>
  <si>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</si>
  <si>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</si>
  <si>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</si>
  <si>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</si>
  <si>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</si>
  <si>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</si>
  <si>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</si>
  <si>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</si>
  <si>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</si>
  <si>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</si>
  <si>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</si>
  <si>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</si>
  <si>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</si>
  <si>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</si>
  <si>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</si>
  <si>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</si>
  <si>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</si>
  <si>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</si>
  <si>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</si>
  <si>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</si>
  <si>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</si>
  <si>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</si>
  <si>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</si>
  <si>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</si>
  <si>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</si>
  <si>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</si>
  <si>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</si>
  <si>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</si>
  <si>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</si>
  <si>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</si>
  <si>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</si>
  <si>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</si>
  <si>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</si>
  <si>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</si>
  <si>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</si>
  <si>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</si>
  <si>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</si>
  <si>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</si>
  <si>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</si>
  <si>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</si>
  <si>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</si>
  <si>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</si>
  <si>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</si>
  <si>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</si>
  <si>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</si>
  <si>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</si>
  <si>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</si>
  <si>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</si>
  <si>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</si>
  <si>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</si>
  <si>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</si>
  <si>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</si>
  <si>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</si>
  <si>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</si>
  <si>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</si>
  <si>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</si>
  <si>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</si>
  <si>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</si>
  <si>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</si>
  <si>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</si>
  <si>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</si>
  <si>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</si>
  <si>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</si>
  <si>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</si>
  <si>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</si>
  <si>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</si>
  <si>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</si>
  <si>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</si>
  <si>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</si>
  <si>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</si>
  <si>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</si>
  <si>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</si>
  <si>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</si>
  <si>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</si>
  <si>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</si>
  <si>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</si>
  <si>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</si>
  <si>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</si>
  <si>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</si>
  <si>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</si>
  <si>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</si>
  <si>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</si>
  <si>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</si>
  <si>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</si>
  <si>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</si>
  <si>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</si>
  <si>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</si>
  <si>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</si>
  <si>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</si>
  <si>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</si>
  <si>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</si>
  <si>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</si>
  <si>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</si>
  <si>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</si>
  <si>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</si>
  <si>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</si>
  <si>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</si>
  <si>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</si>
  <si>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</si>
  <si>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</si>
  <si>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</si>
  <si>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</si>
  <si>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</si>
  <si>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</si>
  <si>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</si>
  <si>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</si>
  <si>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</si>
  <si>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</si>
  <si>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</si>
  <si>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</si>
  <si>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</si>
  <si>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</si>
  <si>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</si>
  <si>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</si>
  <si>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</si>
  <si>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</si>
  <si>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</si>
  <si>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</si>
  <si>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</si>
  <si>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</si>
  <si>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</si>
  <si>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</si>
  <si>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</si>
  <si>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</si>
  <si>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</si>
  <si>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</si>
  <si>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</si>
  <si>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</si>
  <si>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</si>
  <si>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</si>
  <si>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</si>
  <si>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</si>
  <si>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</si>
  <si>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</si>
  <si>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</si>
  <si>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</si>
  <si>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</si>
  <si>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</si>
  <si>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</si>
  <si>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</si>
  <si>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</si>
  <si>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</si>
  <si>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</si>
  <si>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</si>
  <si>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</si>
  <si>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</si>
  <si>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</si>
  <si>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</si>
  <si>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</si>
  <si>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</si>
  <si>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</si>
  <si>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</si>
  <si>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</si>
  <si>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</si>
  <si>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</si>
  <si>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</si>
  <si>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</si>
  <si>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</si>
  <si>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</si>
  <si>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</si>
  <si>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</si>
  <si>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</si>
  <si>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</si>
  <si>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</si>
  <si>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</si>
  <si>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</si>
  <si>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</si>
  <si>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</si>
  <si>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</si>
  <si>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</si>
  <si>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</si>
  <si>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</si>
  <si>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</si>
  <si>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</si>
  <si>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</si>
  <si>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</si>
  <si>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</si>
  <si>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</si>
  <si>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</si>
  <si>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</si>
  <si>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</si>
  <si>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</si>
  <si>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</si>
  <si>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</si>
  <si>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</si>
  <si>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</si>
  <si>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</si>
  <si>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</si>
  <si>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</si>
  <si>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</si>
  <si>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</si>
  <si>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</si>
  <si>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</si>
  <si>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</si>
  <si>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</si>
  <si>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</si>
  <si>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</si>
  <si>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</si>
  <si>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</si>
  <si>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</si>
  <si>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</si>
  <si>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</si>
  <si>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</si>
  <si>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</si>
  <si>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</si>
  <si>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</si>
  <si>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</si>
  <si>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</si>
  <si>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</si>
  <si>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</si>
  <si>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</si>
  <si>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</si>
  <si>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</si>
  <si>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</si>
  <si>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</si>
  <si>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</si>
  <si>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</si>
  <si>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</si>
  <si>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</si>
  <si>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</si>
  <si>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</si>
  <si>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</si>
  <si>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</si>
  <si>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</si>
  <si>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</si>
  <si>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</si>
  <si>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</si>
  <si>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</si>
  <si>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</si>
  <si>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</si>
  <si>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</si>
  <si>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</si>
  <si>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</si>
  <si>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</si>
  <si>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</si>
  <si>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</si>
  <si>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</si>
  <si>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</si>
  <si>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</si>
  <si>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</si>
  <si>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</si>
  <si>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</si>
  <si>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</si>
  <si>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</si>
  <si>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</si>
  <si>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</si>
  <si>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</si>
  <si>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</si>
  <si>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</si>
  <si>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</si>
  <si>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</si>
  <si>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</si>
  <si>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</si>
  <si>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</si>
  <si>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</si>
  <si>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</si>
  <si>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</si>
  <si>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</si>
  <si>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</si>
  <si>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</si>
  <si>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</si>
  <si>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</si>
  <si>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</si>
  <si>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</si>
  <si>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</si>
  <si>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</si>
  <si>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</si>
  <si>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</si>
  <si>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</si>
  <si>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</si>
  <si>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</si>
  <si>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</si>
  <si>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</si>
  <si>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</si>
  <si>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</si>
  <si>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</si>
  <si>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</si>
  <si>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</si>
  <si>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</si>
  <si>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</si>
  <si>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</si>
  <si>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</si>
  <si>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</si>
  <si>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</si>
  <si>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</si>
  <si>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</si>
  <si>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</si>
  <si>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</si>
  <si>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</si>
  <si>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</si>
  <si>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</si>
  <si>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</si>
  <si>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</si>
  <si>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</si>
  <si>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</si>
  <si>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</si>
  <si>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</si>
  <si>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</si>
  <si>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</si>
  <si>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</si>
  <si>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</si>
  <si>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</si>
  <si>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</si>
  <si>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</si>
  <si>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</si>
  <si>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</si>
  <si>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</si>
  <si>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</si>
  <si>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</si>
  <si>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</si>
  <si>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</si>
  <si>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</si>
  <si>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</si>
  <si>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</si>
  <si>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</si>
  <si>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</si>
  <si>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</si>
  <si>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</si>
  <si>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</si>
  <si>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</si>
  <si>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</si>
  <si>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</si>
  <si>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</si>
  <si>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</si>
  <si>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</si>
  <si>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</si>
  <si>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</si>
  <si>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</si>
  <si>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</si>
  <si>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</si>
  <si>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</si>
  <si>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</si>
  <si>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</si>
  <si>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</si>
  <si>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</si>
  <si>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</si>
  <si>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</si>
  <si>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</si>
  <si>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</si>
  <si>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</si>
  <si>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</si>
  <si>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</si>
  <si>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</si>
  <si>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</si>
  <si>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</si>
  <si>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</si>
  <si>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</si>
  <si>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</si>
  <si>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</si>
  <si>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</si>
  <si>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</si>
  <si>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</si>
  <si>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</si>
  <si>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</si>
  <si>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</si>
  <si>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</si>
  <si>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</si>
  <si>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</si>
  <si>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</si>
  <si>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</si>
  <si>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</si>
  <si>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</si>
  <si>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</si>
  <si>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</si>
  <si>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</si>
  <si>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</si>
  <si>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</si>
  <si>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</si>
  <si>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</si>
  <si>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</si>
  <si>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</si>
  <si>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</si>
  <si>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</si>
  <si>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</si>
  <si>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</si>
  <si>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</si>
  <si>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</si>
  <si>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</si>
  <si>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</si>
  <si>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</si>
  <si>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</si>
  <si>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</si>
  <si>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</si>
  <si>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</si>
  <si>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</si>
  <si>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</si>
  <si>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</si>
  <si>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</si>
  <si>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</si>
  <si>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</si>
  <si>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</si>
  <si>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</si>
  <si>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</si>
  <si>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</si>
  <si>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</si>
  <si>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</si>
  <si>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</si>
  <si>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</si>
  <si>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</si>
  <si>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</si>
  <si>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</si>
  <si>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</si>
  <si>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</si>
  <si>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</si>
  <si>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</si>
  <si>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</si>
  <si>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</si>
  <si>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</si>
  <si>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</si>
  <si>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</si>
  <si>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</si>
  <si>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</si>
  <si>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</si>
  <si>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</si>
  <si>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</si>
  <si>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</si>
  <si>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</si>
  <si>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</si>
  <si>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</si>
  <si>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</si>
  <si>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</si>
  <si>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</si>
  <si>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</si>
  <si>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</si>
  <si>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</si>
  <si>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</si>
  <si>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</si>
  <si>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</si>
  <si>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</si>
  <si>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</si>
  <si>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</si>
  <si>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</si>
  <si>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</si>
  <si>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</si>
  <si>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</si>
  <si>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</si>
  <si>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</si>
  <si>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</si>
  <si>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</si>
  <si>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</si>
  <si>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</si>
  <si>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</si>
  <si>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</si>
  <si>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</si>
  <si>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</si>
  <si>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</si>
  <si>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</si>
  <si>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</si>
  <si>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</si>
  <si>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</si>
  <si>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</si>
  <si>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</si>
  <si>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</si>
  <si>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</si>
  <si>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</si>
  <si>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</si>
  <si>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</si>
  <si>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</si>
  <si>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</si>
  <si>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</si>
  <si>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</si>
  <si>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</si>
  <si>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</si>
  <si>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</si>
  <si>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</si>
  <si>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</si>
  <si>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</si>
  <si>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</si>
  <si>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</si>
  <si>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</si>
  <si>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</si>
  <si>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</si>
  <si>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</si>
  <si>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</si>
  <si>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</si>
  <si>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</si>
  <si>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</si>
  <si>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</si>
  <si>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</si>
  <si>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</si>
  <si>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</si>
  <si>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</si>
  <si>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</si>
  <si>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</si>
  <si>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</si>
  <si>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</si>
  <si>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</si>
  <si>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</si>
  <si>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</si>
  <si>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</si>
  <si>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</si>
  <si>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</si>
  <si>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</si>
  <si>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</si>
  <si>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</si>
  <si>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</si>
  <si>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</si>
  <si>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</si>
  <si>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</si>
  <si>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</si>
  <si>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</si>
  <si>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</si>
  <si>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</si>
  <si>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</si>
  <si>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</si>
  <si>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</si>
  <si>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</si>
  <si>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</si>
  <si>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</si>
  <si>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</si>
  <si>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</si>
  <si>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</si>
  <si>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</si>
  <si>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</si>
  <si>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</si>
  <si>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</si>
  <si>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</si>
  <si>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</si>
  <si>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</si>
  <si>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</si>
  <si>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</si>
  <si>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</si>
  <si>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</si>
  <si>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</si>
  <si>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</si>
  <si>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</si>
  <si>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</si>
  <si>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</si>
  <si>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</si>
  <si>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</si>
  <si>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</si>
  <si>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</si>
  <si>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</si>
  <si>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</si>
  <si>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</si>
  <si>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</si>
  <si>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</si>
  <si>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</si>
  <si>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</si>
  <si>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</si>
  <si>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</si>
  <si>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</si>
  <si>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</si>
  <si>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</si>
  <si>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</si>
  <si>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</si>
  <si>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</si>
  <si>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</si>
  <si>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</si>
  <si>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</si>
  <si>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</si>
  <si>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</si>
  <si>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</si>
  <si>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</si>
  <si>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</si>
  <si>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</si>
  <si>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</si>
  <si>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</si>
  <si>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</si>
  <si>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</si>
  <si>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</si>
  <si>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</si>
  <si>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</si>
  <si>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</si>
  <si>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</si>
  <si>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</si>
  <si>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</si>
  <si>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</si>
  <si>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</si>
  <si>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</si>
  <si>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</si>
  <si>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</si>
  <si>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</si>
  <si>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</si>
  <si>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</si>
  <si>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</si>
  <si>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</si>
  <si>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</si>
  <si>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</si>
  <si>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</si>
  <si>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</si>
  <si>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</si>
  <si>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</si>
  <si>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</si>
  <si>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</si>
  <si>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</si>
  <si>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</si>
  <si>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</si>
  <si>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</si>
  <si>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</si>
  <si>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</si>
  <si>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</si>
  <si>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</si>
  <si>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</si>
  <si>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</si>
  <si>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</si>
  <si>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</si>
  <si>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</si>
  <si>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</si>
  <si>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</si>
  <si>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</si>
  <si>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</si>
  <si>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</si>
  <si>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</si>
  <si>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</si>
  <si>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</si>
  <si>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</si>
  <si>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</si>
  <si>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</si>
  <si>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</si>
  <si>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</si>
  <si>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</si>
  <si>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</si>
  <si>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</si>
  <si>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</si>
  <si>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</si>
  <si>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</si>
  <si>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</si>
  <si>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</si>
  <si>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</si>
  <si>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</si>
  <si>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</si>
  <si>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</si>
  <si>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</si>
  <si>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</si>
  <si>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</si>
  <si>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</si>
  <si>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</si>
  <si>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</si>
  <si>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</si>
  <si>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</si>
  <si>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</si>
  <si>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</si>
  <si>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</si>
  <si>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</si>
  <si>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</si>
  <si>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</si>
  <si>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</si>
  <si>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</si>
  <si>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</si>
  <si>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</si>
  <si>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</si>
  <si>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</si>
  <si>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</si>
  <si>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</si>
  <si>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</si>
  <si>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</si>
  <si>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</si>
  <si>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</si>
  <si>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</si>
  <si>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</si>
  <si>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</si>
  <si>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</si>
  <si>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</si>
  <si>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</si>
  <si>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</si>
  <si>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</si>
  <si>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</si>
  <si>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</si>
  <si>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</si>
  <si>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</si>
  <si>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</si>
  <si>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</si>
  <si>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</si>
  <si>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</si>
  <si>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</si>
  <si>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</si>
  <si>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</si>
  <si>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</si>
  <si>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</si>
  <si>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</si>
  <si>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</si>
  <si>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</si>
  <si>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</si>
  <si>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</si>
  <si>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</si>
  <si>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</si>
  <si>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</si>
  <si>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</si>
  <si>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</si>
  <si>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</si>
  <si>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</si>
  <si>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</si>
  <si>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</si>
  <si>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</si>
  <si>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</si>
  <si>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</si>
  <si>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</si>
  <si>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</si>
  <si>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</si>
  <si>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</si>
  <si>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</si>
  <si>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</si>
  <si>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</si>
  <si>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</si>
  <si>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</si>
  <si>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</si>
  <si>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</si>
  <si>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</si>
  <si>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</si>
  <si>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</si>
  <si>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</si>
  <si>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</si>
  <si>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</si>
  <si>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</si>
  <si>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</si>
  <si>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</si>
  <si>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</si>
  <si>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</si>
  <si>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</si>
  <si>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</si>
  <si>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</si>
  <si>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</si>
  <si>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</si>
  <si>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</si>
  <si>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</si>
  <si>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</si>
  <si>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</si>
  <si>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</si>
  <si>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</si>
  <si>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</si>
  <si>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</si>
  <si>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</si>
  <si>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</si>
  <si>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</si>
  <si>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</si>
  <si>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</si>
  <si>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</si>
  <si>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</si>
  <si>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</si>
  <si>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</si>
  <si>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</si>
  <si>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</si>
  <si>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</si>
  <si>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</si>
  <si>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</si>
  <si>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</si>
  <si>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</si>
  <si>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</si>
  <si>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</si>
  <si>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</si>
  <si>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</si>
  <si>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</si>
  <si>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</si>
  <si>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</si>
  <si>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</si>
  <si>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</si>
  <si>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</si>
  <si>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</si>
  <si>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</si>
  <si>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</si>
  <si>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</si>
  <si>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</si>
  <si>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</si>
  <si>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</si>
  <si>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</si>
  <si>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</si>
  <si>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</si>
  <si>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</si>
  <si>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</si>
  <si>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</si>
  <si>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</si>
  <si>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</si>
  <si>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</si>
  <si>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</si>
  <si>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</si>
  <si>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</si>
  <si>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</si>
  <si>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</si>
  <si>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</si>
  <si>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</si>
  <si>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</si>
  <si>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</si>
  <si>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</si>
  <si>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</si>
  <si>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</si>
  <si>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</si>
  <si>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</si>
  <si>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</si>
  <si>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</si>
  <si>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</si>
  <si>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</si>
  <si>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</si>
  <si>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</si>
  <si>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</si>
  <si>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</si>
  <si>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</si>
  <si>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</si>
  <si>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</si>
  <si>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</si>
  <si>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</si>
  <si>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</si>
  <si>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</si>
  <si>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</si>
  <si>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</si>
  <si>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</si>
  <si>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</si>
  <si>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</si>
  <si>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</si>
  <si>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</si>
  <si>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</si>
  <si>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</si>
  <si>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</si>
  <si>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</si>
  <si>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</si>
  <si>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</si>
  <si>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</si>
  <si>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</si>
  <si>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</si>
  <si>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</si>
  <si>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</si>
  <si>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</si>
  <si>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</si>
  <si>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</si>
  <si>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</si>
  <si>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</si>
  <si>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</si>
  <si>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</si>
  <si>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</si>
  <si>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</si>
  <si>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</si>
  <si>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</si>
  <si>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</si>
  <si>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</si>
  <si>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</si>
  <si>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</si>
  <si>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</si>
  <si>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</si>
  <si>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</si>
  <si>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</si>
  <si>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</si>
  <si>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</si>
  <si>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</si>
  <si>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</si>
  <si>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</si>
  <si>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</si>
  <si>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</si>
  <si>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</si>
  <si>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</si>
  <si>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</si>
  <si>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</si>
  <si>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</si>
  <si>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</si>
  <si>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</si>
  <si>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</si>
  <si>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</si>
  <si>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</si>
  <si>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</si>
  <si>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</si>
  <si>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</si>
  <si>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</si>
  <si>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</si>
  <si>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</si>
  <si>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</si>
  <si>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</si>
  <si>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</si>
  <si>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</si>
  <si>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</si>
  <si>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</si>
  <si>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</si>
  <si>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</si>
  <si>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</si>
  <si>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</si>
  <si>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</si>
  <si>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</si>
  <si>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</si>
  <si>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</si>
  <si>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</si>
  <si>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</si>
  <si>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</si>
  <si>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</si>
  <si>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</si>
  <si>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</si>
  <si>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</si>
  <si>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</si>
  <si>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</si>
  <si>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</si>
  <si>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</si>
  <si>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</si>
  <si>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</si>
  <si>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</si>
  <si>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</si>
  <si>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</si>
  <si>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</si>
  <si>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</si>
  <si>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</si>
  <si>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</si>
  <si>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</si>
  <si>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</si>
  <si>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</si>
  <si>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</si>
  <si>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</si>
  <si>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</si>
  <si>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</si>
  <si>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</si>
  <si>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</si>
  <si>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</si>
  <si>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</si>
  <si>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</si>
  <si>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</si>
  <si>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</si>
  <si>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</si>
  <si>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</si>
  <si>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</si>
  <si>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</si>
  <si>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</si>
  <si>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</si>
  <si>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</si>
  <si>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</si>
  <si>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</si>
  <si>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</si>
  <si>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</si>
  <si>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</si>
  <si>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</si>
  <si>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</si>
  <si>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</si>
  <si>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</si>
  <si>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</si>
  <si>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</si>
  <si>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</si>
  <si>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</si>
  <si>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</si>
  <si>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</si>
  <si>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</si>
  <si>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</si>
  <si>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</si>
  <si>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</si>
  <si>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</si>
  <si>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</si>
  <si>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</si>
  <si>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</si>
  <si>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</si>
  <si>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</si>
  <si>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</si>
  <si>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</si>
  <si>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</si>
  <si>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</si>
  <si>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</si>
  <si>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</si>
  <si>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</si>
  <si>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</si>
  <si>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</si>
  <si>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</si>
  <si>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</si>
  <si>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</si>
  <si>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</si>
  <si>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</si>
  <si>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</si>
  <si>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</si>
  <si>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</si>
  <si>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</si>
  <si>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</si>
  <si>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</si>
  <si>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</si>
  <si>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</si>
  <si>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</si>
  <si>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</si>
  <si>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</si>
  <si>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</si>
  <si>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</si>
  <si>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</si>
  <si>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</si>
  <si>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</si>
  <si>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</si>
  <si>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</si>
  <si>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</si>
  <si>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</si>
  <si>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</si>
  <si>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</si>
  <si>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</si>
  <si>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</si>
  <si>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</si>
  <si>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</si>
  <si>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</si>
  <si>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</si>
  <si>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</si>
  <si>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</si>
  <si>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</si>
  <si>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</si>
  <si>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</si>
  <si>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</si>
  <si>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</si>
  <si>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</si>
  <si>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</si>
  <si>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</si>
  <si>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</si>
  <si>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</si>
  <si>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</si>
  <si>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</si>
  <si>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</si>
  <si>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</si>
  <si>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</si>
  <si>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</si>
  <si>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</si>
  <si>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</si>
  <si>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</si>
  <si>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</si>
  <si>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</si>
  <si>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</si>
  <si>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</si>
  <si>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</si>
  <si>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</si>
  <si>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</si>
  <si>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</si>
  <si>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</si>
  <si>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</si>
  <si>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</si>
  <si>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</si>
  <si>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</si>
  <si>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</si>
  <si>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</si>
  <si>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</si>
  <si>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</si>
  <si>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</si>
  <si>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</si>
  <si>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</si>
  <si>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</si>
  <si>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</si>
  <si>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</si>
  <si>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</si>
  <si>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</si>
  <si>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</si>
  <si>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</si>
  <si>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</si>
  <si>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</si>
  <si>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</si>
  <si>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</si>
  <si>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</si>
  <si>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</si>
  <si>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</si>
  <si>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</si>
  <si>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</si>
  <si>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</si>
  <si>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</si>
  <si>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</si>
  <si>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</si>
  <si>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</si>
  <si>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</si>
  <si>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</si>
  <si>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</si>
  <si>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</si>
  <si>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</si>
  <si>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</si>
  <si>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</si>
  <si>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</si>
  <si>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</si>
  <si>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</si>
  <si>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</si>
  <si>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</si>
  <si>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</si>
  <si>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</si>
  <si>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</si>
  <si>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</si>
  <si>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</si>
  <si>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</si>
  <si>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</si>
  <si>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</si>
  <si>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</si>
  <si>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</si>
  <si>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</si>
  <si>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</si>
  <si>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</si>
  <si>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</si>
  <si>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</si>
  <si>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</si>
  <si>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</si>
  <si>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</si>
  <si>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</si>
  <si>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</si>
  <si>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</si>
  <si>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</si>
  <si>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</si>
  <si>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</si>
  <si>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</si>
  <si>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</si>
  <si>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</si>
  <si>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</si>
  <si>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</si>
  <si>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</si>
  <si>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</si>
  <si>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</si>
  <si>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</si>
  <si>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</si>
  <si>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</si>
  <si>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</si>
  <si>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</si>
  <si>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</si>
  <si>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</si>
  <si>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</si>
  <si>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</si>
  <si>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</si>
  <si>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</si>
  <si>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</si>
  <si>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</si>
  <si>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</si>
  <si>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</si>
  <si>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</si>
  <si>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</si>
  <si>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</si>
  <si>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</si>
  <si>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</si>
  <si>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</si>
  <si>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</si>
  <si>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</si>
  <si>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</si>
  <si>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</si>
  <si>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</si>
  <si>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</si>
  <si>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</si>
  <si>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</si>
  <si>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</si>
  <si>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</si>
  <si>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</si>
  <si>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</si>
  <si>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</si>
  <si>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</si>
  <si>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</si>
  <si>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</si>
  <si>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</si>
  <si>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</si>
  <si>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</si>
  <si>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</si>
  <si>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</si>
  <si>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</si>
  <si>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</si>
  <si>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</si>
  <si>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</si>
  <si>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</si>
  <si>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</si>
  <si>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</si>
  <si>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</si>
  <si>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</si>
  <si>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</si>
  <si>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</si>
  <si>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</si>
  <si>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</si>
  <si>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</si>
  <si>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</si>
  <si>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</si>
  <si>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</si>
  <si>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</si>
  <si>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</si>
  <si>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</si>
  <si>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</si>
  <si>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</si>
  <si>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</si>
  <si>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</si>
  <si>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</si>
  <si>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</si>
  <si>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</si>
  <si>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</si>
  <si>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</si>
  <si>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</si>
  <si>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</si>
  <si>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</si>
  <si>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</si>
  <si>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</si>
  <si>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</si>
  <si>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</si>
  <si>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</si>
  <si>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</si>
  <si>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</si>
  <si>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</si>
  <si>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</si>
  <si>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</si>
  <si>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</si>
  <si>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</si>
  <si>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</si>
  <si>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</si>
  <si>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</si>
  <si>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</si>
  <si>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</si>
  <si>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</si>
  <si>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</si>
  <si>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</si>
  <si>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</si>
  <si>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</si>
  <si>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</si>
  <si>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</si>
  <si>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</si>
  <si>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</si>
  <si>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</si>
  <si>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</si>
  <si>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</si>
  <si>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</si>
  <si>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</si>
  <si>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</si>
  <si>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</si>
  <si>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</si>
  <si>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</si>
  <si>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</si>
  <si>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</si>
  <si>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</si>
  <si>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</si>
  <si>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</si>
  <si>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</si>
  <si>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</si>
  <si>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</si>
  <si>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</si>
  <si>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</si>
  <si>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</si>
  <si>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</si>
  <si>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</si>
  <si>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</si>
  <si>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</si>
  <si>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</si>
  <si>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</si>
  <si>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</si>
  <si>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</si>
  <si>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</si>
  <si>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</si>
  <si>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</si>
  <si>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</si>
  <si>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</si>
  <si>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</si>
  <si>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</si>
  <si>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</si>
  <si>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</si>
  <si>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</si>
  <si>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</si>
  <si>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</si>
  <si>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</si>
  <si>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</si>
  <si>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</si>
  <si>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</si>
  <si>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</si>
  <si>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</si>
  <si>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</si>
  <si>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</si>
  <si>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</si>
  <si>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</si>
  <si>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</si>
  <si>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</si>
  <si>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</si>
  <si>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</si>
  <si>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</si>
  <si>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</si>
  <si>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</si>
  <si>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</si>
  <si>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</si>
  <si>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</si>
  <si>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</si>
  <si>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</si>
  <si>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</si>
  <si>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</si>
  <si>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</si>
  <si>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</si>
  <si>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</si>
  <si>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</si>
  <si>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</si>
  <si>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</si>
  <si>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</si>
  <si>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</si>
  <si>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</si>
  <si>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</si>
  <si>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</si>
  <si>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</si>
  <si>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</si>
  <si>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</si>
  <si>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</si>
  <si>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</si>
  <si>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</si>
  <si>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</si>
  <si>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</si>
  <si>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</si>
  <si>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</si>
  <si>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</si>
  <si>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</si>
  <si>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</si>
  <si>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</si>
  <si>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</si>
  <si>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</si>
  <si>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</si>
  <si>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</si>
  <si>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</si>
  <si>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</si>
  <si>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</si>
  <si>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</si>
  <si>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</si>
  <si>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</si>
  <si>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</si>
  <si>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</si>
  <si>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</si>
  <si>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</si>
  <si>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</si>
  <si>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</si>
  <si>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</si>
  <si>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</si>
  <si>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</si>
  <si>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</si>
  <si>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</si>
  <si>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</si>
  <si>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</si>
  <si>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</si>
  <si>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</si>
  <si>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</si>
  <si>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</si>
  <si>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</si>
  <si>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</si>
  <si>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</si>
  <si>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</si>
  <si>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</si>
  <si>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</si>
  <si>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</si>
  <si>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</si>
  <si>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</si>
  <si>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</si>
  <si>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</si>
  <si>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</si>
  <si>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</si>
  <si>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</si>
  <si>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</si>
  <si>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</si>
  <si>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</si>
  <si>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</si>
  <si>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</si>
  <si>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</si>
  <si>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</si>
  <si>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</si>
  <si>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</si>
  <si>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</si>
  <si>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</si>
  <si>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</si>
  <si>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</si>
  <si>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</si>
  <si>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</si>
  <si>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</si>
  <si>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</si>
  <si>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</si>
  <si>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</si>
  <si>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</si>
  <si>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</si>
  <si>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</si>
  <si>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</si>
  <si>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</si>
  <si>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</si>
  <si>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</si>
  <si>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</si>
  <si>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</si>
  <si>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</si>
  <si>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</si>
  <si>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</si>
  <si>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</si>
  <si>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</si>
  <si>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</si>
  <si>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</si>
  <si>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</si>
  <si>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</si>
  <si>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</si>
  <si>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</si>
  <si>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</si>
  <si>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</si>
  <si>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</si>
  <si>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</si>
  <si>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</si>
  <si>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</si>
  <si>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</si>
  <si>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</si>
  <si>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</si>
  <si>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</si>
  <si>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</si>
  <si>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</si>
  <si>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</si>
  <si>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</si>
  <si>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</si>
  <si>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</si>
  <si>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</si>
  <si>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</si>
  <si>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</si>
  <si>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</si>
  <si>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</si>
  <si>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</si>
  <si>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</si>
  <si>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</si>
  <si>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</si>
  <si>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</si>
  <si>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</si>
  <si>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</si>
  <si>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</si>
  <si>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</si>
  <si>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</si>
  <si>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</si>
  <si>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</si>
  <si>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</si>
  <si>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</si>
  <si>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</si>
  <si>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</si>
  <si>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</si>
  <si>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</si>
  <si>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</si>
  <si>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</si>
  <si>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</si>
  <si>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</si>
  <si>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</si>
  <si>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</si>
  <si>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</si>
  <si>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</si>
  <si>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</si>
  <si>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</si>
  <si>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</si>
  <si>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</si>
  <si>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</si>
  <si>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</si>
  <si>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</si>
  <si>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</si>
  <si>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</si>
  <si>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</si>
  <si>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</si>
  <si>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</si>
  <si>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</si>
  <si>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</si>
  <si>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</si>
  <si>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</si>
  <si>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</si>
  <si>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</si>
  <si>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</si>
  <si>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</si>
  <si>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</si>
  <si>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</si>
  <si>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</si>
  <si>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</si>
  <si>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</si>
  <si>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</si>
  <si>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</si>
  <si>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</si>
  <si>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</si>
  <si>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</si>
  <si>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</si>
  <si>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</si>
  <si>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</si>
  <si>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</si>
  <si>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</si>
  <si>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</si>
  <si>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</si>
  <si>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</si>
  <si>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</si>
  <si>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</si>
  <si>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</si>
  <si>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</si>
  <si>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</si>
  <si>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</si>
  <si>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</si>
  <si>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</si>
  <si>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</si>
  <si>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</si>
  <si>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</si>
  <si>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</si>
  <si>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</si>
  <si>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</si>
  <si>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</si>
  <si>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</si>
  <si>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</si>
  <si>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</si>
  <si>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</si>
  <si>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</si>
  <si>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</si>
  <si>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</si>
  <si>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</si>
  <si>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</si>
  <si>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</si>
  <si>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</si>
  <si>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</si>
  <si>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</si>
  <si>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</si>
  <si>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</si>
  <si>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</si>
  <si>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</si>
  <si>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</si>
  <si>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</si>
  <si>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</si>
  <si>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</si>
  <si>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</si>
  <si>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</si>
  <si>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</si>
  <si>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</si>
  <si>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</si>
  <si>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</si>
  <si>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</si>
  <si>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</si>
  <si>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</si>
  <si>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</si>
  <si>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</si>
  <si>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</si>
  <si>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</si>
  <si>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</si>
  <si>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</si>
  <si>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</si>
  <si>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</si>
  <si>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</si>
  <si>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</si>
  <si>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</si>
  <si>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</si>
  <si>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</si>
  <si>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</si>
  <si>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</si>
  <si>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</si>
  <si>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</si>
  <si>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</si>
  <si>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</si>
  <si>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</si>
  <si>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</si>
  <si>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</si>
  <si>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</si>
  <si>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</si>
  <si>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</si>
  <si>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</si>
  <si>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</si>
  <si>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</si>
  <si>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</si>
  <si>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</si>
  <si>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</si>
  <si>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</si>
  <si>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</si>
  <si>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</si>
  <si>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</si>
  <si>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</si>
  <si>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</si>
  <si>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</si>
  <si>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</si>
  <si>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</si>
  <si>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</si>
  <si>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</si>
  <si>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</si>
  <si>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</si>
  <si>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</si>
  <si>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</si>
  <si>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</si>
  <si>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</si>
  <si>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</si>
  <si>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</si>
  <si>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</si>
  <si>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</si>
  <si>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</si>
  <si>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</si>
  <si>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</si>
  <si>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</si>
  <si>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</si>
  <si>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</si>
  <si>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</si>
  <si>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</si>
  <si>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</si>
  <si>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</si>
  <si>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</si>
  <si>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</si>
  <si>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</si>
  <si>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</si>
  <si>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</si>
  <si>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</si>
  <si>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</si>
  <si>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</si>
  <si>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</si>
  <si>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</si>
  <si>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</si>
  <si>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</si>
  <si>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</si>
  <si>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</si>
  <si>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</si>
  <si>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</si>
  <si>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</si>
  <si>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</si>
  <si>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</si>
  <si>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</si>
  <si>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</si>
  <si>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</si>
  <si>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</si>
  <si>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</si>
  <si>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</si>
  <si>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</si>
  <si>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</si>
  <si>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</si>
  <si>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</si>
  <si>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</si>
  <si>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</si>
  <si>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</si>
  <si>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</si>
  <si>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</si>
  <si>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</si>
  <si>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</si>
  <si>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</si>
  <si>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</si>
  <si>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</si>
  <si>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</si>
  <si>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</si>
  <si>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</si>
  <si>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</si>
  <si>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</si>
  <si>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</si>
  <si>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</si>
  <si>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</si>
  <si>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</si>
  <si>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</si>
  <si>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</si>
  <si>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</si>
  <si>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</si>
  <si>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</si>
  <si>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</si>
  <si>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</si>
  <si>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</si>
  <si>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</si>
  <si>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</si>
  <si>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</si>
  <si>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</si>
  <si>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</si>
  <si>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</si>
  <si>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</si>
  <si>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</si>
  <si>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</si>
  <si>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</si>
  <si>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</si>
  <si>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</si>
  <si>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</si>
  <si>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</si>
  <si>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</si>
  <si>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</si>
  <si>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</si>
  <si>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</si>
  <si>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</si>
  <si>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</si>
  <si>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</si>
  <si>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</si>
  <si>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</si>
  <si>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</si>
  <si>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</si>
  <si>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</si>
  <si>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</si>
  <si>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</si>
  <si>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</si>
  <si>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</si>
  <si>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</si>
  <si>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</si>
  <si>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</si>
  <si>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</si>
  <si>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</si>
  <si>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</si>
  <si>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</si>
  <si>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</si>
  <si>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</si>
  <si>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</si>
  <si>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</si>
  <si>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</si>
  <si>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</si>
  <si>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</si>
  <si>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</si>
  <si>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</si>
  <si>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</si>
  <si>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</si>
  <si>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</si>
  <si>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</si>
  <si>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</si>
  <si>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</si>
  <si>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</si>
  <si>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</si>
  <si>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</si>
  <si>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</si>
  <si>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</si>
  <si>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</si>
  <si>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</si>
  <si>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</si>
  <si>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</si>
  <si>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</si>
  <si>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</si>
  <si>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</si>
  <si>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</si>
  <si>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</si>
  <si>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</si>
  <si>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</si>
  <si>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</si>
  <si>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</si>
  <si>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</si>
  <si>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</si>
  <si>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</si>
  <si>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</si>
  <si>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</si>
  <si>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</si>
  <si>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</si>
  <si>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</si>
  <si>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</si>
  <si>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</si>
  <si>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</si>
  <si>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</si>
  <si>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</si>
  <si>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</si>
  <si>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</si>
  <si>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</si>
  <si>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</si>
  <si>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</si>
  <si>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</si>
  <si>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</si>
  <si>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</si>
  <si>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</si>
  <si>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</si>
  <si>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</si>
  <si>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</si>
  <si>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</si>
  <si>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</si>
  <si>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</si>
  <si>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</si>
  <si>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</si>
  <si>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</si>
  <si>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</si>
  <si>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</si>
  <si>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</si>
  <si>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</si>
  <si>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</si>
  <si>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</si>
  <si>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</si>
  <si>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</si>
  <si>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</si>
  <si>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</si>
  <si>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</si>
  <si>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</si>
  <si>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</si>
  <si>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</si>
  <si>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</si>
  <si>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</si>
  <si>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</si>
  <si>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</si>
  <si>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</si>
  <si>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</si>
  <si>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</si>
  <si>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</si>
  <si>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</si>
  <si>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</si>
  <si>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</si>
  <si>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</si>
  <si>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</si>
  <si>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</si>
  <si>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</si>
  <si>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</si>
  <si>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</si>
  <si>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</si>
  <si>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</si>
  <si>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</si>
  <si>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</si>
  <si>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</si>
  <si>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</si>
  <si>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</si>
  <si>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</si>
  <si>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</si>
  <si>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</si>
  <si>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</si>
  <si>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</si>
  <si>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</si>
  <si>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</si>
  <si>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</si>
  <si>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</si>
  <si>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</si>
  <si>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</si>
  <si>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</si>
  <si>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</si>
  <si>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</si>
  <si>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</si>
  <si>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</si>
  <si>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</si>
  <si>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</si>
  <si>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</si>
  <si>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</si>
  <si>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</si>
  <si>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</si>
  <si>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</si>
  <si>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</si>
  <si>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</si>
  <si>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</si>
  <si>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</si>
  <si>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</si>
  <si>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</si>
  <si>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</si>
  <si>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</si>
  <si>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</si>
  <si>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</si>
  <si>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</si>
  <si>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</si>
  <si>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</si>
  <si>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</si>
  <si>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</si>
  <si>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</si>
  <si>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</si>
  <si>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</si>
  <si>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</si>
  <si>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</si>
  <si>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</si>
  <si>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</si>
  <si>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</si>
  <si>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</si>
  <si>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</si>
  <si>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</si>
  <si>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</si>
  <si>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</si>
  <si>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</si>
  <si>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</si>
  <si>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</si>
  <si>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</si>
  <si>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</si>
  <si>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</si>
  <si>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</si>
  <si>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</si>
  <si>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</si>
  <si>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</si>
  <si>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</si>
  <si>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</si>
  <si>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</si>
  <si>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</si>
  <si>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</si>
  <si>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</si>
  <si>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</si>
  <si>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</si>
  <si>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</si>
  <si>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</si>
  <si>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</si>
  <si>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</si>
  <si>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</si>
  <si>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</si>
  <si>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</si>
  <si>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</si>
  <si>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</si>
  <si>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</si>
  <si>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</si>
  <si>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</si>
  <si>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</si>
  <si>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</si>
  <si>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</si>
  <si>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</si>
  <si>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</si>
  <si>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</si>
  <si>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</si>
  <si>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</si>
  <si>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</si>
  <si>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</si>
  <si>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</si>
  <si>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</si>
  <si>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</si>
  <si>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</si>
  <si>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</si>
  <si>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</si>
  <si>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</si>
  <si>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</si>
  <si>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</si>
  <si>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</si>
  <si>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</si>
  <si>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</si>
  <si>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</si>
  <si>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</si>
  <si>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</si>
  <si>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</si>
  <si>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</si>
  <si>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</si>
  <si>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</si>
  <si>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</si>
  <si>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</si>
  <si>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</si>
  <si>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</si>
  <si>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</si>
  <si>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</si>
  <si>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</si>
  <si>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</si>
  <si>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</si>
  <si>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</si>
  <si>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</si>
  <si>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</si>
  <si>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</si>
  <si>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</si>
  <si>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</si>
  <si>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</si>
  <si>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</si>
  <si>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</si>
  <si>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</si>
  <si>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</si>
  <si>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</si>
  <si>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</si>
  <si>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</si>
  <si>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</si>
  <si>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</si>
  <si>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</si>
  <si>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</si>
  <si>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</si>
  <si>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</si>
  <si>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</si>
  <si>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</si>
  <si>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</si>
  <si>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</si>
  <si>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</si>
  <si>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</si>
  <si>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</si>
  <si>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</si>
  <si>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</si>
  <si>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</si>
  <si>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</si>
  <si>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</si>
  <si>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</si>
  <si>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</si>
  <si>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</si>
  <si>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</si>
  <si>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</si>
  <si>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</si>
  <si>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</si>
  <si>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</si>
  <si>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</si>
  <si>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</si>
  <si>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</si>
  <si>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</si>
  <si>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</si>
  <si>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</si>
  <si>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</si>
  <si>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</si>
  <si>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</si>
  <si>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</si>
  <si>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</si>
  <si>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</si>
  <si>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</si>
  <si>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</si>
  <si>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</si>
  <si>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</si>
  <si>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</si>
  <si>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</si>
  <si>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</si>
  <si>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</si>
  <si>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</si>
  <si>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</si>
  <si>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</si>
  <si>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</si>
  <si>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</si>
  <si>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</si>
  <si>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</si>
  <si>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</si>
  <si>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</si>
  <si>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</si>
  <si>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</si>
  <si>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</si>
  <si>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</si>
  <si>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</si>
  <si>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</si>
  <si>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</si>
  <si>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</si>
  <si>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</si>
  <si>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</si>
  <si>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</si>
  <si>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</si>
  <si>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</si>
  <si>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</si>
  <si>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</si>
  <si>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</si>
  <si>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</si>
  <si>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</si>
  <si>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</si>
  <si>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</si>
  <si>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</si>
  <si>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</si>
  <si>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</si>
  <si>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</si>
  <si>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</si>
  <si>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</si>
  <si>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</si>
  <si>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</si>
  <si>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</si>
  <si>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</si>
  <si>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</si>
  <si>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</si>
  <si>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</si>
  <si>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</si>
  <si>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</si>
  <si>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</si>
  <si>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</si>
  <si>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</si>
  <si>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</si>
  <si>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</si>
  <si>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</si>
  <si>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</si>
  <si>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</si>
  <si>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</si>
  <si>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</si>
  <si>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</si>
  <si>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</si>
  <si>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</si>
  <si>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</si>
  <si>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</si>
  <si>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</si>
  <si>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</si>
  <si>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</si>
  <si>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</si>
  <si>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</si>
  <si>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</si>
  <si>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</si>
  <si>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</si>
  <si>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</si>
  <si>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</si>
  <si>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</si>
  <si>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</si>
  <si>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</si>
  <si>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</si>
  <si>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</si>
  <si>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</si>
  <si>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</si>
  <si>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</si>
  <si>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</si>
  <si>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</si>
  <si>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</si>
  <si>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</si>
  <si>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</si>
  <si>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</si>
  <si>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</si>
  <si>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</si>
  <si>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</si>
  <si>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</si>
  <si>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</si>
  <si>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</si>
  <si>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</si>
  <si>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</si>
  <si>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</si>
  <si>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</si>
  <si>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</si>
  <si>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</si>
  <si>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</si>
  <si>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</si>
  <si>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</si>
  <si>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</si>
  <si>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</si>
  <si>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</si>
  <si>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</si>
  <si>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</si>
  <si>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</si>
  <si>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</si>
  <si>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</si>
  <si>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</si>
  <si>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</si>
  <si>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</si>
  <si>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</si>
  <si>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</si>
  <si>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</si>
  <si>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</si>
  <si>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</si>
  <si>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</si>
  <si>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</si>
  <si>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</si>
  <si>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</si>
  <si>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</si>
  <si>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</si>
  <si>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</si>
  <si>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</si>
  <si>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</si>
  <si>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</si>
  <si>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</si>
  <si>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</si>
  <si>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</si>
  <si>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</si>
  <si>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</si>
  <si>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</si>
  <si>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</si>
  <si>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</si>
  <si>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</si>
  <si>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</si>
  <si>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</si>
  <si>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</si>
  <si>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</si>
  <si>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</si>
  <si>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</si>
  <si>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</si>
  <si>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</si>
  <si>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</si>
  <si>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</si>
  <si>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</si>
  <si>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</si>
  <si>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</si>
  <si>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</si>
  <si>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</si>
  <si>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</si>
  <si>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</si>
  <si>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</si>
  <si>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</si>
  <si>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</si>
  <si>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</si>
  <si>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</si>
  <si>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</si>
  <si>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</si>
  <si>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</si>
  <si>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</si>
  <si>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</si>
  <si>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</si>
  <si>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</si>
  <si>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</si>
  <si>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</si>
  <si>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</si>
  <si>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</si>
  <si>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</si>
  <si>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</si>
  <si>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</si>
  <si>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</si>
  <si>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</si>
  <si>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</si>
  <si>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</si>
  <si>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</si>
  <si>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</si>
  <si>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</si>
  <si>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</si>
  <si>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</si>
  <si>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</si>
  <si>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</si>
  <si>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</si>
  <si>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</si>
  <si>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</si>
  <si>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</si>
  <si>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</si>
  <si>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</si>
  <si>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</si>
  <si>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</si>
  <si>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</si>
  <si>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</si>
  <si>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</si>
  <si>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</si>
  <si>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</si>
  <si>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</si>
  <si>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</si>
  <si>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</si>
  <si>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</si>
  <si>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</si>
  <si>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</si>
  <si>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</si>
  <si>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</si>
  <si>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</si>
  <si>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</si>
  <si>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</si>
  <si>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</si>
  <si>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</si>
  <si>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</si>
  <si>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</si>
  <si>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</si>
  <si>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</si>
  <si>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</si>
  <si>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</si>
  <si>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</si>
  <si>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</si>
  <si>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</si>
  <si>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</si>
  <si>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</si>
  <si>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</si>
  <si>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</si>
  <si>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</si>
  <si>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</si>
  <si>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</si>
  <si>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</si>
  <si>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</si>
  <si>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</si>
  <si>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</si>
  <si>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</si>
  <si>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</si>
  <si>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</si>
  <si>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</si>
  <si>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</si>
  <si>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</si>
  <si>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</si>
  <si>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</si>
  <si>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</si>
  <si>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</si>
  <si>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</si>
  <si>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</si>
  <si>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</si>
  <si>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</si>
  <si>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</si>
  <si>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</si>
  <si>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</si>
  <si>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</si>
  <si>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</si>
  <si>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</si>
  <si>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</si>
  <si>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</si>
  <si>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</si>
  <si>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</si>
  <si>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</si>
  <si>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</si>
  <si>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</si>
  <si>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</si>
  <si>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</si>
  <si>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</si>
  <si>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</si>
  <si>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</si>
  <si>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</si>
  <si>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</si>
  <si>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</si>
  <si>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</si>
  <si>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</si>
  <si>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</si>
  <si>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</si>
  <si>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</si>
  <si>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</si>
  <si>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</si>
  <si>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</si>
  <si>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</si>
  <si>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</si>
  <si>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</si>
  <si>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</si>
  <si>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</si>
  <si>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</si>
  <si>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</si>
  <si>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</si>
  <si>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</si>
  <si>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</si>
  <si>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</si>
  <si>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</si>
  <si>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</si>
  <si>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</si>
  <si>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</si>
  <si>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</si>
  <si>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</si>
  <si>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</si>
  <si>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</si>
  <si>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</si>
  <si>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</si>
  <si>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</si>
  <si>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</si>
  <si>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</si>
  <si>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</si>
  <si>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</si>
  <si>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</si>
  <si>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</si>
  <si>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</si>
  <si>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</si>
  <si>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</si>
  <si>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</si>
  <si>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</si>
  <si>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</si>
  <si>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</si>
  <si>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</si>
  <si>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</si>
  <si>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</si>
  <si>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</si>
  <si>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</si>
  <si>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</si>
  <si>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</si>
  <si>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</si>
  <si>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</si>
  <si>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</si>
  <si>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</si>
  <si>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</si>
  <si>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</si>
  <si>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</si>
  <si>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</si>
  <si>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</si>
  <si>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</si>
  <si>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</si>
  <si>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</si>
  <si>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</si>
  <si>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</si>
  <si>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</si>
  <si>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</si>
  <si>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</si>
  <si>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</si>
  <si>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</si>
  <si>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</si>
  <si>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</si>
  <si>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</si>
  <si>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</si>
  <si>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</si>
  <si>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</si>
  <si>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</si>
  <si>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</si>
  <si>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</si>
  <si>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</si>
  <si>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</si>
  <si>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</si>
  <si>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</si>
  <si>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</si>
  <si>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</si>
  <si>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</si>
  <si>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</si>
  <si>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</si>
  <si>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</si>
  <si>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</si>
  <si>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</si>
  <si>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</si>
  <si>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</si>
  <si>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</si>
  <si>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</si>
  <si>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</si>
  <si>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</si>
  <si>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</si>
  <si>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</si>
  <si>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</si>
  <si>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</si>
  <si>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</si>
  <si>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</si>
  <si>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</si>
  <si>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</si>
  <si>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</si>
  <si>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</si>
  <si>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</si>
  <si>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</si>
  <si>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</si>
  <si>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</si>
  <si>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</si>
  <si>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</si>
  <si>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</si>
  <si>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</si>
  <si>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</si>
  <si>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</si>
  <si>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</si>
  <si>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</si>
  <si>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</si>
  <si>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</si>
  <si>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</si>
  <si>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</si>
  <si>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</si>
  <si>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</si>
  <si>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</si>
  <si>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</si>
  <si>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</si>
  <si>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</si>
  <si>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</si>
  <si>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</si>
  <si>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</si>
  <si>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</si>
  <si>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</si>
  <si>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</si>
  <si>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</si>
  <si>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</si>
  <si>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</si>
  <si>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</si>
  <si>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</si>
  <si>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</si>
  <si>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</si>
  <si>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</si>
  <si>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</si>
  <si>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</si>
  <si>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</si>
  <si>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</si>
  <si>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</si>
  <si>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</si>
  <si>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</si>
  <si>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</si>
  <si>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</si>
  <si>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</si>
  <si>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</si>
  <si>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</si>
  <si>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</si>
  <si>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</si>
  <si>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</si>
  <si>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</si>
  <si>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</si>
  <si>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</si>
  <si>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</si>
  <si>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</si>
  <si>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</si>
  <si>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</si>
  <si>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</si>
  <si>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</si>
  <si>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</si>
  <si>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</si>
  <si>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</si>
  <si>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</si>
  <si>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</si>
  <si>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</si>
  <si>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</si>
  <si>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</si>
  <si>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</si>
  <si>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</si>
  <si>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</si>
  <si>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</si>
  <si>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</si>
  <si>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</si>
  <si>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</si>
  <si>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</si>
  <si>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</si>
  <si>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</si>
  <si>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</si>
  <si>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</si>
  <si>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</si>
  <si>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</si>
  <si>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</si>
  <si>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</si>
  <si>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</si>
  <si>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</si>
  <si>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</si>
  <si>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</si>
  <si>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</si>
  <si>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</si>
  <si>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</si>
  <si>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</si>
  <si>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</si>
  <si>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</si>
  <si>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</si>
  <si>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</si>
  <si>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</si>
  <si>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</si>
  <si>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</si>
  <si>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</si>
  <si>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</si>
  <si>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</si>
  <si>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</si>
  <si>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</si>
  <si>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</si>
  <si>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</si>
  <si>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</si>
  <si>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</si>
  <si>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</si>
  <si>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</si>
  <si>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</si>
  <si>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</si>
  <si>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</si>
  <si>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</si>
  <si>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</si>
  <si>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</si>
  <si>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</si>
  <si>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</si>
  <si>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</si>
  <si>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</si>
  <si>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</si>
  <si>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</si>
  <si>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</si>
  <si>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</si>
  <si>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</si>
  <si>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</si>
  <si>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</si>
  <si>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</si>
  <si>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</si>
  <si>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</si>
  <si>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</si>
  <si>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</si>
  <si>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</si>
  <si>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</si>
  <si>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</si>
  <si>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</si>
  <si>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</si>
  <si>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</si>
  <si>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</si>
  <si>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</si>
  <si>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</si>
  <si>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</si>
  <si>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</si>
  <si>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</si>
  <si>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</si>
  <si>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</si>
  <si>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</si>
  <si>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</si>
  <si>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</si>
  <si>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</si>
  <si>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</si>
  <si>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</si>
  <si>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</si>
  <si>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</si>
  <si>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</si>
  <si>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</si>
  <si>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</si>
  <si>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</si>
  <si>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</si>
  <si>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</si>
  <si>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</si>
  <si>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</si>
  <si>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</si>
  <si>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</si>
  <si>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</si>
  <si>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</si>
  <si>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</si>
  <si>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</si>
  <si>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</si>
  <si>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</si>
  <si>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</si>
  <si>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</si>
  <si>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</si>
  <si>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</si>
  <si>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</si>
  <si>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</si>
  <si>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</si>
  <si>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</si>
  <si>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</si>
  <si>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</si>
  <si>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</si>
  <si>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</si>
  <si>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</si>
  <si>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</si>
  <si>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</si>
  <si>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</si>
  <si>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</si>
  <si>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</si>
  <si>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</si>
  <si>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</si>
  <si>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</si>
  <si>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</si>
  <si>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</si>
  <si>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</si>
  <si>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</si>
  <si>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</si>
  <si>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</si>
  <si>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</si>
  <si>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</si>
  <si>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</si>
  <si>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</si>
  <si>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</si>
  <si>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</si>
  <si>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</si>
  <si>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</si>
  <si>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</si>
  <si>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</si>
  <si>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</si>
  <si>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</si>
  <si>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</si>
  <si>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</si>
  <si>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</si>
  <si>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</si>
  <si>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</si>
  <si>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</si>
  <si>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</si>
  <si>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</si>
  <si>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</si>
  <si>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</si>
  <si>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</si>
  <si>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</si>
  <si>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</si>
  <si>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</si>
  <si>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</si>
  <si>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</si>
  <si>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</si>
  <si>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</si>
  <si>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</si>
  <si>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</si>
  <si>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</si>
  <si>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</si>
  <si>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</si>
  <si>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</si>
  <si>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</si>
  <si>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</si>
  <si>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</si>
  <si>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</si>
  <si>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</si>
  <si>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</si>
  <si>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</si>
  <si>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</si>
  <si>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</si>
  <si>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</si>
  <si>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</si>
  <si>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</si>
  <si>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</si>
  <si>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</si>
  <si>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</si>
  <si>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</si>
  <si>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</si>
  <si>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</si>
  <si>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</si>
  <si>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</si>
  <si>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</si>
  <si>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</si>
  <si>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</si>
  <si>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</si>
  <si>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</si>
  <si>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</si>
  <si>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</si>
  <si>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</si>
  <si>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</si>
  <si>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</si>
  <si>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</si>
  <si>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</si>
  <si>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</si>
  <si>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</si>
  <si>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</si>
  <si>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</si>
  <si>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</si>
  <si>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</si>
  <si>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</si>
  <si>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</si>
  <si>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</si>
  <si>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</si>
  <si>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</si>
  <si>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</si>
  <si>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</si>
  <si>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</si>
  <si>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</si>
  <si>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</si>
  <si>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</si>
  <si>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</si>
  <si>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</si>
  <si>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</si>
  <si>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</si>
  <si>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</si>
  <si>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</si>
  <si>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</si>
  <si>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</si>
  <si>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</si>
  <si>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</si>
  <si>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</si>
  <si>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</si>
  <si>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</si>
  <si>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</si>
  <si>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</si>
  <si>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</si>
  <si>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</si>
  <si>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</si>
  <si>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</si>
  <si>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</si>
  <si>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</si>
  <si>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</si>
  <si>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</si>
  <si>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</si>
  <si>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</si>
  <si>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</si>
  <si>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</si>
  <si>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</si>
  <si>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</si>
  <si>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</si>
  <si>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</si>
  <si>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</si>
  <si>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</si>
  <si>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</si>
  <si>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</si>
  <si>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</si>
  <si>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</si>
  <si>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</si>
  <si>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</si>
  <si>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</si>
  <si>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</si>
  <si>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</si>
  <si>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</si>
  <si>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</si>
  <si>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</si>
  <si>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</si>
  <si>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</si>
  <si>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</si>
  <si>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</si>
  <si>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</si>
  <si>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</si>
  <si>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</si>
  <si>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</si>
  <si>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</si>
  <si>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</si>
  <si>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</si>
  <si>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</si>
  <si>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</si>
  <si>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</si>
  <si>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</si>
  <si>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</si>
  <si>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</si>
  <si>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</si>
  <si>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</si>
  <si>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</si>
  <si>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</si>
  <si>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</si>
  <si>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</si>
  <si>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</si>
  <si>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</si>
  <si>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</si>
  <si>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</si>
  <si>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</si>
  <si>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</si>
  <si>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</si>
  <si>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</si>
  <si>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</si>
  <si>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</si>
  <si>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</si>
  <si>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</si>
  <si>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</si>
  <si>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</si>
  <si>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</si>
  <si>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</si>
  <si>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</si>
  <si>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</si>
  <si>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</si>
  <si>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</si>
  <si>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</si>
  <si>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</si>
  <si>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</si>
  <si>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</si>
  <si>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</si>
  <si>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</si>
  <si>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</si>
  <si>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</si>
  <si>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</si>
  <si>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</si>
  <si>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</si>
  <si>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</si>
  <si>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</si>
  <si>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</si>
  <si>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</si>
  <si>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</si>
  <si>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</si>
  <si>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</si>
  <si>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</si>
  <si>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</si>
  <si>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</si>
  <si>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</si>
  <si>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</si>
  <si>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</si>
  <si>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</si>
  <si>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</si>
  <si>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</si>
  <si>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</si>
  <si>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</si>
  <si>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</si>
  <si>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</si>
  <si>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</si>
  <si>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</si>
  <si>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</si>
  <si>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</si>
  <si>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</si>
  <si>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</si>
  <si>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</si>
  <si>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</si>
  <si>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</si>
  <si>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</si>
  <si>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</si>
  <si>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</si>
  <si>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</si>
  <si>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</si>
  <si>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</si>
  <si>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</si>
  <si>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</si>
  <si>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</si>
  <si>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</si>
  <si>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</si>
  <si>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</si>
  <si>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</si>
  <si>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</si>
  <si>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</si>
  <si>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</si>
  <si>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</si>
  <si>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</si>
  <si>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</si>
  <si>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</si>
  <si>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</si>
  <si>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</si>
  <si>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</si>
  <si>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</si>
  <si>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</si>
  <si>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</si>
  <si>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</si>
  <si>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</si>
  <si>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</si>
  <si>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</si>
  <si>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</si>
  <si>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</si>
  <si>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</si>
  <si>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</si>
  <si>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</si>
  <si>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</si>
  <si>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</si>
  <si>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</si>
  <si>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</si>
  <si>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</si>
  <si>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</si>
  <si>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</si>
  <si>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</si>
  <si>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</si>
  <si>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</si>
  <si>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</si>
  <si>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</si>
  <si>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</si>
  <si>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</si>
  <si>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</si>
  <si>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</si>
  <si>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</si>
  <si>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</si>
  <si>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</si>
  <si>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</si>
  <si>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</si>
  <si>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</si>
  <si>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</si>
  <si>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</si>
  <si>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</si>
  <si>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</si>
  <si>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</si>
  <si>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</si>
  <si>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</si>
  <si>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</si>
  <si>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</si>
  <si>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</si>
  <si>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</si>
  <si>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</si>
  <si>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</si>
  <si>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</si>
  <si>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</si>
  <si>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</si>
  <si>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</si>
  <si>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</si>
  <si>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</si>
  <si>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</si>
  <si>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</si>
  <si>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</si>
  <si>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</si>
  <si>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</si>
  <si>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</si>
  <si>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</si>
  <si>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</si>
  <si>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</si>
  <si>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</si>
  <si>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</si>
  <si>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</si>
  <si>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</si>
  <si>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</si>
  <si>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</si>
  <si>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</si>
  <si>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</si>
  <si>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</si>
  <si>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</si>
  <si>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</si>
  <si>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</si>
  <si>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</si>
  <si>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</si>
  <si>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</si>
  <si>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</si>
  <si>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</si>
  <si>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</si>
  <si>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</si>
  <si>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</si>
  <si>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</si>
  <si>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</si>
  <si>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</si>
  <si>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</si>
  <si>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</si>
  <si>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</si>
  <si>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</si>
  <si>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</si>
  <si>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</si>
  <si>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</si>
  <si>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</si>
  <si>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</si>
  <si>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</si>
  <si>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</si>
  <si>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</si>
  <si>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</si>
  <si>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</si>
  <si>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</si>
  <si>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</si>
  <si>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</si>
  <si>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</si>
  <si>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</si>
  <si>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</si>
  <si>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</si>
  <si>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</si>
  <si>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</si>
  <si>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</si>
  <si>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</si>
  <si>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</si>
  <si>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</si>
  <si>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</si>
  <si>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</si>
  <si>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</si>
  <si>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</si>
  <si>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</si>
  <si>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</si>
  <si>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</si>
  <si>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</si>
  <si>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</si>
  <si>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</si>
  <si>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</si>
  <si>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</si>
  <si>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</si>
  <si>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</si>
  <si>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</si>
  <si>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</si>
  <si>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</si>
  <si>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</si>
  <si>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</si>
  <si>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</si>
  <si>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</si>
  <si>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</si>
  <si>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</si>
  <si>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</si>
  <si>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</si>
  <si>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</si>
  <si>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</si>
  <si>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</si>
  <si>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</si>
  <si>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</si>
  <si>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</si>
  <si>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</si>
  <si>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</si>
  <si>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</si>
  <si>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</si>
  <si>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</si>
  <si>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</si>
  <si>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</si>
  <si>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</si>
  <si>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</si>
  <si>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</si>
  <si>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</si>
  <si>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</si>
  <si>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</si>
  <si>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</si>
  <si>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</si>
  <si>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</si>
  <si>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</si>
  <si>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</si>
  <si>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</si>
  <si>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</si>
  <si>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</si>
  <si>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</si>
  <si>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</si>
  <si>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</si>
  <si>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</si>
  <si>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</si>
  <si>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</si>
  <si>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</si>
  <si>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</si>
  <si>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</si>
  <si>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</si>
  <si>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</si>
  <si>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</si>
  <si>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</si>
  <si>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</si>
  <si>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</si>
  <si>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</si>
  <si>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</si>
  <si>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</si>
  <si>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</si>
  <si>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</si>
  <si>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</si>
  <si>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</si>
  <si>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</si>
  <si>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</si>
  <si>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</si>
  <si>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</si>
  <si>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</si>
  <si>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</si>
  <si>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</si>
  <si>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</si>
  <si>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</si>
  <si>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</si>
  <si>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</si>
  <si>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</si>
  <si>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</si>
  <si>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</si>
  <si>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</si>
  <si>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</si>
  <si>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</si>
  <si>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</si>
  <si>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</si>
  <si>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</si>
  <si>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</si>
  <si>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</si>
  <si>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</si>
  <si>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</si>
  <si>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</si>
  <si>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</si>
  <si>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</si>
  <si>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</si>
  <si>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</si>
  <si>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</si>
  <si>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</si>
  <si>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</si>
  <si>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</si>
  <si>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</si>
  <si>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</si>
  <si>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</si>
  <si>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</si>
  <si>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</si>
  <si>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</si>
  <si>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</si>
  <si>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</si>
  <si>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</si>
  <si>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</si>
  <si>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</si>
  <si>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</si>
  <si>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</si>
  <si>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</si>
  <si>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</si>
  <si>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</si>
  <si>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</si>
  <si>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</si>
  <si>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</si>
  <si>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</si>
  <si>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</si>
  <si>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</si>
  <si>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</si>
  <si>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</si>
  <si>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</si>
  <si>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</si>
  <si>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</si>
  <si>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</si>
  <si>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</si>
  <si>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</si>
  <si>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</si>
  <si>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</si>
  <si>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</si>
  <si>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</si>
  <si>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</si>
  <si>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</si>
  <si>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</si>
  <si>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</si>
  <si>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</si>
  <si>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</si>
  <si>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</si>
  <si>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</si>
  <si>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</si>
  <si>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</si>
  <si>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</si>
  <si>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</si>
  <si>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</si>
  <si>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</si>
  <si>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</si>
  <si>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</si>
  <si>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</si>
  <si>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</si>
  <si>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</si>
  <si>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</si>
  <si>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</si>
  <si>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</si>
  <si>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</si>
  <si>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</si>
  <si>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</si>
  <si>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</si>
  <si>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</si>
  <si>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</si>
  <si>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</si>
  <si>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</si>
  <si>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</si>
  <si>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</si>
  <si>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</si>
  <si>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</si>
  <si>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</si>
  <si>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</si>
  <si>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</si>
  <si>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</si>
  <si>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</si>
  <si>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</si>
  <si>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</si>
  <si>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</si>
  <si>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</si>
  <si>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</si>
  <si>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</si>
  <si>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</si>
  <si>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</si>
  <si>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</si>
  <si>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</si>
  <si>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</si>
  <si>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</si>
  <si>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</si>
  <si>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</si>
  <si>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</si>
  <si>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</si>
  <si>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</si>
  <si>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</si>
  <si>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</si>
  <si>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</si>
  <si>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</si>
  <si>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</si>
  <si>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</si>
  <si>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</si>
  <si>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</si>
  <si>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</si>
  <si>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</si>
  <si>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</si>
  <si>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</si>
  <si>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</si>
  <si>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</si>
  <si>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</si>
  <si>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</si>
  <si>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</si>
  <si>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</si>
  <si>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</si>
  <si>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</si>
  <si>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</si>
  <si>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</si>
  <si>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</si>
  <si>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</si>
  <si>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</si>
  <si>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</si>
  <si>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</si>
  <si>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</si>
  <si>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</si>
  <si>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</si>
  <si>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</si>
  <si>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</si>
  <si>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</si>
  <si>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</si>
  <si>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</si>
  <si>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</si>
  <si>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</si>
  <si>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</si>
  <si>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</si>
  <si>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</si>
  <si>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</si>
  <si>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</si>
  <si>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</si>
  <si>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</si>
  <si>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</si>
  <si>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</si>
  <si>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</si>
  <si>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</si>
  <si>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</si>
  <si>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</si>
  <si>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</si>
  <si>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</si>
  <si>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</si>
  <si>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</si>
  <si>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</si>
  <si>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</si>
  <si>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</si>
  <si>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</si>
  <si>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</si>
  <si>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</si>
  <si>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</si>
  <si>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</si>
  <si>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</si>
  <si>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</si>
  <si>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</si>
  <si>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</si>
  <si>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</si>
  <si>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</si>
  <si>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</si>
  <si>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</si>
  <si>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</si>
  <si>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</si>
  <si>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</si>
  <si>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</si>
  <si>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</si>
  <si>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</si>
  <si>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</si>
  <si>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</si>
  <si>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</si>
  <si>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</si>
  <si>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</si>
  <si>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</si>
  <si>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</si>
  <si>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</si>
  <si>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</si>
  <si>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</si>
  <si>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</si>
  <si>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</si>
  <si>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</si>
  <si>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</si>
  <si>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</si>
  <si>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</si>
  <si>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</si>
  <si>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</si>
  <si>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</si>
  <si>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</si>
  <si>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</si>
  <si>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</si>
  <si>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</si>
  <si>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</si>
  <si>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</si>
  <si>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</si>
  <si>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</si>
  <si>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</si>
  <si>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</si>
  <si>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</si>
  <si>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</si>
  <si>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</si>
  <si>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</si>
  <si>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</si>
  <si>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</si>
  <si>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</si>
  <si>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</si>
  <si>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</si>
  <si>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</si>
  <si>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</si>
  <si>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</si>
  <si>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</si>
  <si>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</si>
  <si>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</si>
  <si>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</si>
  <si>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</si>
  <si>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</si>
  <si>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</si>
  <si>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</si>
  <si>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</si>
  <si>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</si>
  <si>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</si>
  <si>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</si>
  <si>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</si>
  <si>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</si>
  <si>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</si>
  <si>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</si>
  <si>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</si>
  <si>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</si>
  <si>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</si>
  <si>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</si>
  <si>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</si>
  <si>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</si>
  <si>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</si>
  <si>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</si>
  <si>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</si>
  <si>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</si>
  <si>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</si>
  <si>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</si>
  <si>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</si>
  <si>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</si>
  <si>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</si>
  <si>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</si>
  <si>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</si>
  <si>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</si>
  <si>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</si>
  <si>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</si>
  <si>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</si>
  <si>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</si>
  <si>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</si>
  <si>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</si>
  <si>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</si>
  <si>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</si>
  <si>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</si>
  <si>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</si>
  <si>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</si>
  <si>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</si>
  <si>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</si>
  <si>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</si>
  <si>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</si>
  <si>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</si>
  <si>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</si>
  <si>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</si>
  <si>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</si>
  <si>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</si>
  <si>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</si>
  <si>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</si>
  <si>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</si>
  <si>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</si>
  <si>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</si>
  <si>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</si>
  <si>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</si>
  <si>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</si>
  <si>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</si>
  <si>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</si>
  <si>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</si>
  <si>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</si>
  <si>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</si>
  <si>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</si>
  <si>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</si>
  <si>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</si>
  <si>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</si>
  <si>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</si>
  <si>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</si>
  <si>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</si>
  <si>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</si>
  <si>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</si>
  <si>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</si>
  <si>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</si>
  <si>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</si>
  <si>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</si>
  <si>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</si>
  <si>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</si>
  <si>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</si>
  <si>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</si>
  <si>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</si>
  <si>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</si>
  <si>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</si>
  <si>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</si>
  <si>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</si>
  <si>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</si>
  <si>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</si>
  <si>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</si>
  <si>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</si>
  <si>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</si>
  <si>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</si>
  <si>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</si>
  <si>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</si>
  <si>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</si>
  <si>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</si>
  <si>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</si>
  <si>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</si>
  <si>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</si>
  <si>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</si>
  <si>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</si>
  <si>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</si>
  <si>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</si>
  <si>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</si>
  <si>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</si>
  <si>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</si>
  <si>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</si>
  <si>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</si>
  <si>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</si>
  <si>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</si>
  <si>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</si>
  <si>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</si>
  <si>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</si>
  <si>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</si>
  <si>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</si>
  <si>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</si>
  <si>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</si>
  <si>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</si>
  <si>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</si>
  <si>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</si>
  <si>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</si>
  <si>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</si>
  <si>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</si>
  <si>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</si>
  <si>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</si>
  <si>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</si>
  <si>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</si>
  <si>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</si>
  <si>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</si>
  <si>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</si>
  <si>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</si>
  <si>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</si>
  <si>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</si>
  <si>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</si>
  <si>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</si>
  <si>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</si>
  <si>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</si>
  <si>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</si>
  <si>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</si>
  <si>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</si>
  <si>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</si>
  <si>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</si>
  <si>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</si>
  <si>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</si>
  <si>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</si>
  <si>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</si>
  <si>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</si>
  <si>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</si>
  <si>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</si>
  <si>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</si>
  <si>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</si>
  <si>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</si>
  <si>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</si>
  <si>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</si>
  <si>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</si>
  <si>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</si>
  <si>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</si>
  <si>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</si>
  <si>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</si>
  <si>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</si>
  <si>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</si>
  <si>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</si>
  <si>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</si>
  <si>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</si>
  <si>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</si>
  <si>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</si>
  <si>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</si>
  <si>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</si>
  <si>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</si>
  <si>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</si>
  <si>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</si>
  <si>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</si>
  <si>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</si>
  <si>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</si>
  <si>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</si>
  <si>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</si>
  <si>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</si>
  <si>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</si>
  <si>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</si>
  <si>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</si>
  <si>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</si>
  <si>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</si>
  <si>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</si>
  <si>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</si>
  <si>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</si>
  <si>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</si>
  <si>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</si>
  <si>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</si>
  <si>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</si>
  <si>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</si>
  <si>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</si>
  <si>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</si>
  <si>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</si>
  <si>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</si>
  <si>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</si>
  <si>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</si>
  <si>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</si>
  <si>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</si>
  <si>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</si>
  <si>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</si>
  <si>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</si>
  <si>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</si>
  <si>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</si>
  <si>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</si>
  <si>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</si>
  <si>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</si>
  <si>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</si>
  <si>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</si>
  <si>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</si>
  <si>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</si>
  <si>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</si>
  <si>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</si>
  <si>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</si>
  <si>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</si>
  <si>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</si>
  <si>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</si>
  <si>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</si>
  <si>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</si>
  <si>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</si>
  <si>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</si>
  <si>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</si>
  <si>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</si>
  <si>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</si>
  <si>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</si>
  <si>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</si>
  <si>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</si>
  <si>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</si>
  <si>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</si>
  <si>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</si>
  <si>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</si>
  <si>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</si>
  <si>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</si>
  <si>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</si>
  <si>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</si>
  <si>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</si>
  <si>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</si>
  <si>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</si>
  <si>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</si>
  <si>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</si>
  <si>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</si>
  <si>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</si>
  <si>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</si>
  <si>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</si>
  <si>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</si>
  <si>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</si>
  <si>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</si>
  <si>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</si>
  <si>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</si>
  <si>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</si>
  <si>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</si>
  <si>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</si>
  <si>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</si>
  <si>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</si>
  <si>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</si>
  <si>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</si>
  <si>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</si>
  <si>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</si>
  <si>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</si>
  <si>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</si>
  <si>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</si>
  <si>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</si>
  <si>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</si>
  <si>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</si>
  <si>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</si>
  <si>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</si>
  <si>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</si>
  <si>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</si>
  <si>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</si>
  <si>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</si>
  <si>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</si>
  <si>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</si>
  <si>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</si>
  <si>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</si>
  <si>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</si>
  <si>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</si>
  <si>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</si>
  <si>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</si>
  <si>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</si>
  <si>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</si>
  <si>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</si>
  <si>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</si>
  <si>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</si>
  <si>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</si>
  <si>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</si>
  <si>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</si>
  <si>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</si>
  <si>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</si>
  <si>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</si>
  <si>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</si>
  <si>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</si>
  <si>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</si>
  <si>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</si>
  <si>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</si>
  <si>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</si>
  <si>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</si>
  <si>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</si>
  <si>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</si>
  <si>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</si>
  <si>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</si>
  <si>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</si>
  <si>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</si>
  <si>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</si>
  <si>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</si>
  <si>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</si>
  <si>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</si>
  <si>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</si>
  <si>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</si>
  <si>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</si>
  <si>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</si>
  <si>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</si>
  <si>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</si>
  <si>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</si>
  <si>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</si>
  <si>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</si>
  <si>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</si>
  <si>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</si>
  <si>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</si>
  <si>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</si>
  <si>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</si>
  <si>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</si>
  <si>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</si>
  <si>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</si>
  <si>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</si>
  <si>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</si>
  <si>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</si>
  <si>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</si>
  <si>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</si>
  <si>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</si>
  <si>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</si>
  <si>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</si>
  <si>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</si>
  <si>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</si>
  <si>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</si>
  <si>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</si>
  <si>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</si>
  <si>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</si>
  <si>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</si>
  <si>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</si>
  <si>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</si>
  <si>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</si>
  <si>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</si>
  <si>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</si>
  <si>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</si>
  <si>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</si>
  <si>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</si>
  <si>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</si>
  <si>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</si>
  <si>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</si>
  <si>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</si>
  <si>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</si>
  <si>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</si>
  <si>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</si>
  <si>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</si>
  <si>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</si>
  <si>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</si>
  <si>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</si>
  <si>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</si>
  <si>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</si>
  <si>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</si>
  <si>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</si>
  <si>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</si>
  <si>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</si>
  <si>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</si>
  <si>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</si>
  <si>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</si>
  <si>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</si>
  <si>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</si>
  <si>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</si>
  <si>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</si>
  <si>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</si>
  <si>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</si>
  <si>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</si>
  <si>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</si>
  <si>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</si>
  <si>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</si>
  <si>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</si>
  <si>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</si>
  <si>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</si>
  <si>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</si>
  <si>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</si>
  <si>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</si>
  <si>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</si>
  <si>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</si>
  <si>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</si>
  <si>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</si>
  <si>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</si>
  <si>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</si>
  <si>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</si>
  <si>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</si>
  <si>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</si>
  <si>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</si>
  <si>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</si>
  <si>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</si>
  <si>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</si>
  <si>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</si>
  <si>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</si>
  <si>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</si>
  <si>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</si>
  <si>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</si>
  <si>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</si>
  <si>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</si>
  <si>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</si>
  <si>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</si>
  <si>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</si>
  <si>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</si>
  <si>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</si>
  <si>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</si>
  <si>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</si>
  <si>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</si>
  <si>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</si>
  <si>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</si>
  <si>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</si>
  <si>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</si>
  <si>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</si>
  <si>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</si>
  <si>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</si>
  <si>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</si>
  <si>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</si>
  <si>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</si>
  <si>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</si>
  <si>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</si>
  <si>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</si>
  <si>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</si>
  <si>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</si>
  <si>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</si>
  <si>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</si>
  <si>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</si>
  <si>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</si>
  <si>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</si>
  <si>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</si>
  <si>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</si>
  <si>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</si>
  <si>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</si>
  <si>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</si>
  <si>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</si>
  <si>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</si>
  <si>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</si>
  <si>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</si>
  <si>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</si>
  <si>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</si>
  <si>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</si>
  <si>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</si>
  <si>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</si>
  <si>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</si>
  <si>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</si>
  <si>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</si>
  <si>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</si>
  <si>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</si>
  <si>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</si>
  <si>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</si>
  <si>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</si>
  <si>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</si>
  <si>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</si>
  <si>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</si>
  <si>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</si>
  <si>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</si>
  <si>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</si>
  <si>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</si>
  <si>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</si>
  <si>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</si>
  <si>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</si>
  <si>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</si>
  <si>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</si>
  <si>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</si>
  <si>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</si>
  <si>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</si>
  <si>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</si>
  <si>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</si>
  <si>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</si>
  <si>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</si>
  <si>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</si>
  <si>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</si>
  <si>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</si>
  <si>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</si>
  <si>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</si>
  <si>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</si>
  <si>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</si>
  <si>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</si>
  <si>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</si>
  <si>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</si>
  <si>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</si>
  <si>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</si>
  <si>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</si>
  <si>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</si>
  <si>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</si>
  <si>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</si>
  <si>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</si>
  <si>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</si>
  <si>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</si>
  <si>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</si>
  <si>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</si>
  <si>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</si>
  <si>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</si>
  <si>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</si>
  <si>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</si>
  <si>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</si>
  <si>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</si>
  <si>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</si>
  <si>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</si>
  <si>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</si>
  <si>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</si>
  <si>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</si>
  <si>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</si>
  <si>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</si>
  <si>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</si>
  <si>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</si>
  <si>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</si>
  <si>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</si>
  <si>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</si>
  <si>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</si>
  <si>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</si>
  <si>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</si>
  <si>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</si>
  <si>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</si>
  <si>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</si>
  <si>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</si>
  <si>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</si>
  <si>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</si>
  <si>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</si>
  <si>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</si>
  <si>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</si>
  <si>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</si>
  <si>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</si>
  <si>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</si>
  <si>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</si>
  <si>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</si>
  <si>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</si>
  <si>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</si>
  <si>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</si>
  <si>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</si>
  <si>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</si>
  <si>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</si>
  <si>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</si>
  <si>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</si>
  <si>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</si>
  <si>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</si>
  <si>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</si>
  <si>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</si>
  <si>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</si>
  <si>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</si>
  <si>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</si>
  <si>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</si>
  <si>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</si>
  <si>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</si>
  <si>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</si>
  <si>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</si>
  <si>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</si>
  <si>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</si>
  <si>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</si>
  <si>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</si>
  <si>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</si>
  <si>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</si>
  <si>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</si>
  <si>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</si>
  <si>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</si>
  <si>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</si>
  <si>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</si>
  <si>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</si>
  <si>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</si>
  <si>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</si>
  <si>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</si>
  <si>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</si>
  <si>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</si>
  <si>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</si>
  <si>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</si>
  <si>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</si>
  <si>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</si>
  <si>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</si>
  <si>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</si>
  <si>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</si>
  <si>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</si>
  <si>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</si>
  <si>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</si>
  <si>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</si>
  <si>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</si>
  <si>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</si>
  <si>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</si>
  <si>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</si>
  <si>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</si>
  <si>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</si>
  <si>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</si>
  <si>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</si>
  <si>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</si>
  <si>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</si>
  <si>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</si>
  <si>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</si>
  <si>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</si>
  <si>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</si>
  <si>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</si>
  <si>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</si>
  <si>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</si>
  <si>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</si>
  <si>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</si>
  <si>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</si>
  <si>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</si>
  <si>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</si>
  <si>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</si>
  <si>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</si>
  <si>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</si>
  <si>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</si>
  <si>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</si>
  <si>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</si>
  <si>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</si>
  <si>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</si>
  <si>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</si>
  <si>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</si>
  <si>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</si>
  <si>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</si>
  <si>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</si>
  <si>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</si>
  <si>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</si>
  <si>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</si>
  <si>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</si>
  <si>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</si>
  <si>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</si>
  <si>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</si>
  <si>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</si>
  <si>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</si>
  <si>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</si>
  <si>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</si>
  <si>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</si>
  <si>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</si>
  <si>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</si>
  <si>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</si>
  <si>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</si>
  <si>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</si>
  <si>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</si>
  <si>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</si>
  <si>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</si>
  <si>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</si>
  <si>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</si>
  <si>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</si>
  <si>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</si>
  <si>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</si>
  <si>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</si>
  <si>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</si>
  <si>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</si>
  <si>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</si>
  <si>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</si>
  <si>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</si>
  <si>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</si>
  <si>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</si>
  <si>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</si>
  <si>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</si>
  <si>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</si>
  <si>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</si>
  <si>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</si>
  <si>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</si>
  <si>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</si>
  <si>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</si>
  <si>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</si>
  <si>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</si>
  <si>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</si>
  <si>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</si>
  <si>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</si>
  <si>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</si>
  <si>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</si>
  <si>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</si>
  <si>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</si>
  <si>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</si>
  <si>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</si>
  <si>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</si>
  <si>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</si>
  <si>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</si>
  <si>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</si>
  <si>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</si>
  <si>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</si>
  <si>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</si>
  <si>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</si>
  <si>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</si>
  <si>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</si>
  <si>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</si>
  <si>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</si>
  <si>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</si>
  <si>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</si>
  <si>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</si>
  <si>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</si>
  <si>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</si>
  <si>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</si>
  <si>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</si>
  <si>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</si>
  <si>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</si>
  <si>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</si>
  <si>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</si>
  <si>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</si>
  <si>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</si>
  <si>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</si>
  <si>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</si>
  <si>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</si>
  <si>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</si>
  <si>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</si>
  <si>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</si>
  <si>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</si>
  <si>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</si>
  <si>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</si>
  <si>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</si>
  <si>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</si>
  <si>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</si>
  <si>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</si>
  <si>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</si>
  <si>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</si>
  <si>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</si>
  <si>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</si>
  <si>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</si>
  <si>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</si>
  <si>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</si>
  <si>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</si>
  <si>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</si>
  <si>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</si>
  <si>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</si>
  <si>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</si>
  <si>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</si>
  <si>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</si>
  <si>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</si>
  <si>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</si>
  <si>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</si>
  <si>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</si>
  <si>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</si>
  <si>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</si>
  <si>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</si>
  <si>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</si>
  <si>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</si>
  <si>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</si>
  <si>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</si>
  <si>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</si>
  <si>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</si>
  <si>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</si>
  <si>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</si>
  <si>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</si>
  <si>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</si>
  <si>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</si>
  <si>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</si>
  <si>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</si>
  <si>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</si>
  <si>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</si>
  <si>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</si>
  <si>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</si>
  <si>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</si>
  <si>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</si>
  <si>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</si>
  <si>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</si>
  <si>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</si>
  <si>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</si>
  <si>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</si>
  <si>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</si>
  <si>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</si>
  <si>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</si>
  <si>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</si>
  <si>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</si>
  <si>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</si>
  <si>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</si>
  <si>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</si>
  <si>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</si>
  <si>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</si>
  <si>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</si>
  <si>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</si>
  <si>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</si>
  <si>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</si>
  <si>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</si>
  <si>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</si>
  <si>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</si>
  <si>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</si>
  <si>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</si>
  <si>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</si>
  <si>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</si>
  <si>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</si>
  <si>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</si>
  <si>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</si>
  <si>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</si>
  <si>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</si>
  <si>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</si>
  <si>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</si>
  <si>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</si>
  <si>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</si>
  <si>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</si>
  <si>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</si>
  <si>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</si>
  <si>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</si>
  <si>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</si>
  <si>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</si>
  <si>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</si>
  <si>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</si>
  <si>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</si>
  <si>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</si>
  <si>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</si>
  <si>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</si>
  <si>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</si>
  <si>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</si>
  <si>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</si>
  <si>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</si>
  <si>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</si>
  <si>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</si>
  <si>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</si>
  <si>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</si>
  <si>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</si>
  <si>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</si>
  <si>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</si>
  <si>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</si>
  <si>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</si>
  <si>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</si>
  <si>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</si>
  <si>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</si>
  <si>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</si>
  <si>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</si>
  <si>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</si>
  <si>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</si>
  <si>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</si>
  <si>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</si>
  <si>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</si>
  <si>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</si>
  <si>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</si>
  <si>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</si>
  <si>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</si>
  <si>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</si>
  <si>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</si>
  <si>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</si>
  <si>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</si>
  <si>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</si>
  <si>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</si>
  <si>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</si>
  <si>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</si>
  <si>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</si>
  <si>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</si>
  <si>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</si>
  <si>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</si>
  <si>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</si>
  <si>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</si>
  <si>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</si>
  <si>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</si>
  <si>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</si>
  <si>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</si>
  <si>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</si>
  <si>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</si>
  <si>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</si>
  <si>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</si>
  <si>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</si>
  <si>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</si>
  <si>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</si>
  <si>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</si>
  <si>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</si>
  <si>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</si>
  <si>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</si>
  <si>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</si>
  <si>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</si>
  <si>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</si>
  <si>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</si>
  <si>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</si>
  <si>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</si>
  <si>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</si>
  <si>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</si>
  <si>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</si>
  <si>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</si>
  <si>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</si>
  <si>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</si>
  <si>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</si>
  <si>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</si>
  <si>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</si>
  <si>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</si>
  <si>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</si>
  <si>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</si>
  <si>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</si>
  <si>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</si>
  <si>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</si>
  <si>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</si>
  <si>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</si>
  <si>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</si>
  <si>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</si>
  <si>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</si>
  <si>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</si>
  <si>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</si>
  <si>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</si>
  <si>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</si>
  <si>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</si>
  <si>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</si>
  <si>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</si>
  <si>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</si>
  <si>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</si>
  <si>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</si>
  <si>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</si>
  <si>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</si>
  <si>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</si>
  <si>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</si>
  <si>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</si>
  <si>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</si>
  <si>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</si>
  <si>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</si>
  <si>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</si>
  <si>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</si>
  <si>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</si>
  <si>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</si>
  <si>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</si>
  <si>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</si>
  <si>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</si>
  <si>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</si>
  <si>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</si>
  <si>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</si>
  <si>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</si>
  <si>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</si>
  <si>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</si>
  <si>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</si>
  <si>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</si>
  <si>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</si>
  <si>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</si>
  <si>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</si>
  <si>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</si>
  <si>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</si>
  <si>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</si>
  <si>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</si>
  <si>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</si>
  <si>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</si>
  <si>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</si>
  <si>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</si>
  <si>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</si>
  <si>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</si>
  <si>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</si>
  <si>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</si>
  <si>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</si>
  <si>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</si>
  <si>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</si>
  <si>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</si>
  <si>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</si>
  <si>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</si>
  <si>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</si>
  <si>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</si>
  <si>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</si>
  <si>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</si>
  <si>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</si>
  <si>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</si>
  <si>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</si>
  <si>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</si>
  <si>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</si>
  <si>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</si>
  <si>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</si>
  <si>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</si>
  <si>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</si>
  <si>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</si>
  <si>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</si>
  <si>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</si>
  <si>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</si>
  <si>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</si>
  <si>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</si>
  <si>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</si>
  <si>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</si>
  <si>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</si>
  <si>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</si>
  <si>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</si>
  <si>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</si>
  <si>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</si>
  <si>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</si>
  <si>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</si>
  <si>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</si>
  <si>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</si>
  <si>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</si>
  <si>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</si>
  <si>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</si>
  <si>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</si>
  <si>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</si>
  <si>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</si>
  <si>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</si>
  <si>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</si>
  <si>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</si>
  <si>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</si>
  <si>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</si>
  <si>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</si>
  <si>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</si>
  <si>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</si>
  <si>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</si>
  <si>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</si>
  <si>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</si>
  <si>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</si>
  <si>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</si>
  <si>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</si>
  <si>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</si>
  <si>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</si>
  <si>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</si>
  <si>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</si>
  <si>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</si>
  <si>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</si>
  <si>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</si>
  <si>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</si>
  <si>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</si>
  <si>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</si>
  <si>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</si>
  <si>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</si>
  <si>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</si>
  <si>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</si>
  <si>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</si>
  <si>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</si>
  <si>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</si>
  <si>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</si>
  <si>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</si>
  <si>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</si>
  <si>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</si>
  <si>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</si>
  <si>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</si>
  <si>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</si>
  <si>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</si>
  <si>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</si>
  <si>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</si>
  <si>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</si>
  <si>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</si>
  <si>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</si>
  <si>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</si>
  <si>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</si>
  <si>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</si>
  <si>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</si>
  <si>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</si>
  <si>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</si>
  <si>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</si>
  <si>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</si>
  <si>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</si>
  <si>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</si>
  <si>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</si>
  <si>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</si>
  <si>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</si>
  <si>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</si>
  <si>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</si>
  <si>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</si>
  <si>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</si>
  <si>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</si>
  <si>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</si>
  <si>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</si>
  <si>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</si>
  <si>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</si>
  <si>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</si>
  <si>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</si>
  <si>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</si>
  <si>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</si>
  <si>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</si>
  <si>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</si>
  <si>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</si>
  <si>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</si>
  <si>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</si>
  <si>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</si>
  <si>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</si>
  <si>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</si>
  <si>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</si>
  <si>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</si>
  <si>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</si>
  <si>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</si>
  <si>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</si>
  <si>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</si>
  <si>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</si>
  <si>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</si>
  <si>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</si>
  <si>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</si>
  <si>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</si>
  <si>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</si>
  <si>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</si>
  <si>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</si>
  <si>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</si>
  <si>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</si>
  <si>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</si>
  <si>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</si>
  <si>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</si>
  <si>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</si>
  <si>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</si>
  <si>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</si>
  <si>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</si>
  <si>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</si>
  <si>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</si>
  <si>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</si>
  <si>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</si>
  <si>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</si>
  <si>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</si>
  <si>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</si>
  <si>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</si>
  <si>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</si>
  <si>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</si>
  <si>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</si>
  <si>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</si>
  <si>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</si>
  <si>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</si>
  <si>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</si>
  <si>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</si>
  <si>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</si>
  <si>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</si>
  <si>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</si>
  <si>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</si>
  <si>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</si>
  <si>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</si>
  <si>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</si>
  <si>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</si>
  <si>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</si>
  <si>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</si>
  <si>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</si>
  <si>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</si>
  <si>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</si>
  <si>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</si>
  <si>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</si>
  <si>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</si>
  <si>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</si>
  <si>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</si>
  <si>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</si>
  <si>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</si>
  <si>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</si>
  <si>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</si>
  <si>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</si>
  <si>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</si>
  <si>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</si>
  <si>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</si>
  <si>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</si>
  <si>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</si>
  <si>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</si>
  <si>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</si>
  <si>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</si>
  <si>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</si>
  <si>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</si>
  <si>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</si>
  <si>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</si>
  <si>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</si>
  <si>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</si>
  <si>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</si>
  <si>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</si>
  <si>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</si>
  <si>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</si>
  <si>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</si>
  <si>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</si>
  <si>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</si>
  <si>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</si>
  <si>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</si>
  <si>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</si>
  <si>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</si>
  <si>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</si>
  <si>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</si>
  <si>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</si>
  <si>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</si>
  <si>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</si>
  <si>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</si>
  <si>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</si>
  <si>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</si>
  <si>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</si>
  <si>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</si>
  <si>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</si>
  <si>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</si>
  <si>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</si>
  <si>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</si>
  <si>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</si>
  <si>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</si>
  <si>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</si>
  <si>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</si>
  <si>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</si>
  <si>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</si>
  <si>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</si>
  <si>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</si>
  <si>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</si>
  <si>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</si>
  <si>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</si>
  <si>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</si>
  <si>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</si>
  <si>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</si>
  <si>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</si>
  <si>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</si>
  <si>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</si>
  <si>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</si>
  <si>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</si>
  <si>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</si>
  <si>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</si>
  <si>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</si>
  <si>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</si>
  <si>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</si>
  <si>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</si>
  <si>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</si>
  <si>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</si>
  <si>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</si>
  <si>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</si>
  <si>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</si>
  <si>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</si>
  <si>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</si>
  <si>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</si>
  <si>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</si>
  <si>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</si>
  <si>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</si>
  <si>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</si>
  <si>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</si>
  <si>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</si>
  <si>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</si>
  <si>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</si>
  <si>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</si>
  <si>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</si>
  <si>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</si>
  <si>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</si>
  <si>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</si>
  <si>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</si>
  <si>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</si>
  <si>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</si>
  <si>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</si>
  <si>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</si>
  <si>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</si>
  <si>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</si>
  <si>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</si>
  <si>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</si>
  <si>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</si>
  <si>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</si>
  <si>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</si>
  <si>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</si>
  <si>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</si>
  <si>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</si>
  <si>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</si>
  <si>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</si>
  <si>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</si>
  <si>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</si>
  <si>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</si>
  <si>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</si>
  <si>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</si>
  <si>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</si>
  <si>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</si>
  <si>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</si>
  <si>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</si>
  <si>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</si>
  <si>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</si>
  <si>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</si>
  <si>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</si>
  <si>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</si>
  <si>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</si>
  <si>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</si>
  <si>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</si>
  <si>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</si>
  <si>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</si>
  <si>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</si>
  <si>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W1M153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</si>
  <si>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</si>
  <si>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</si>
  <si>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</si>
  <si>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</si>
  <si>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</si>
  <si>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</si>
  <si>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</si>
  <si>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</si>
  <si>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</si>
  <si>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</si>
  <si>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</si>
  <si>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</si>
  <si>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</si>
  <si>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</si>
  <si>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</si>
  <si>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</si>
  <si>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</si>
  <si>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</si>
  <si>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</si>
  <si>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</si>
  <si>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</si>
  <si>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</si>
  <si>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</si>
  <si>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</si>
  <si>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</si>
  <si>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</si>
  <si>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</si>
  <si>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</si>
  <si>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</si>
  <si>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</si>
  <si>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</si>
  <si>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</si>
  <si>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</si>
  <si>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IOS086</t>
  </si>
  <si>
    <t>NN2005</t>
  </si>
  <si>
    <t>THD065</t>
  </si>
  <si>
    <t>0VN1NW1PL</t>
  </si>
  <si>
    <t>0VN1PW1PL</t>
  </si>
  <si>
    <t>0VN1RW1PL</t>
  </si>
  <si>
    <t>0VN1TW1PL</t>
  </si>
  <si>
    <t>0VN1VW1PL</t>
  </si>
  <si>
    <t>FX2063</t>
  </si>
  <si>
    <t>EUI180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</si>
  <si>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</si>
  <si>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</si>
  <si>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</si>
  <si>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</si>
  <si>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</si>
  <si>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</si>
  <si>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</si>
  <si>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</si>
  <si>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</si>
  <si>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</si>
  <si>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</si>
  <si>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</si>
  <si>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</si>
  <si>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</si>
  <si>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</si>
  <si>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</si>
  <si>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</si>
  <si>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</si>
  <si>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</si>
  <si>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</si>
  <si>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</si>
  <si>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</si>
  <si>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</si>
  <si>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</si>
  <si>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</si>
  <si>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</si>
  <si>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</si>
  <si>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</si>
  <si>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</si>
  <si>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</si>
  <si>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</si>
  <si>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</si>
  <si>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</si>
  <si>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</si>
  <si>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</si>
  <si>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</si>
  <si>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</si>
  <si>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</si>
  <si>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</si>
  <si>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</si>
  <si>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</si>
  <si>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</si>
  <si>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CAH312</t>
  </si>
  <si>
    <t>GCU006</t>
  </si>
  <si>
    <t>GM2006</t>
  </si>
  <si>
    <t>ESQ215</t>
  </si>
  <si>
    <t>0JX2PE1PL</t>
  </si>
  <si>
    <t>0JX2RE1PL</t>
  </si>
  <si>
    <t>0JX2TE1PL</t>
  </si>
  <si>
    <t>0JX2VE1PL</t>
  </si>
  <si>
    <t>0JX2XE1PL</t>
  </si>
  <si>
    <t>LDGTBA</t>
  </si>
  <si>
    <t>NJ6016</t>
  </si>
  <si>
    <t>EEU169</t>
  </si>
  <si>
    <t>5CH033</t>
  </si>
  <si>
    <t>0LS3BE1PL</t>
  </si>
  <si>
    <t>0LS3DE1PL</t>
  </si>
  <si>
    <t>0LS3FE1PL</t>
  </si>
  <si>
    <t>0LS3HE1PL</t>
  </si>
  <si>
    <t>BNG140</t>
  </si>
  <si>
    <t>MA7421</t>
  </si>
  <si>
    <t>TRRP79</t>
  </si>
  <si>
    <t>SL5049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</si>
  <si>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</si>
  <si>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</si>
  <si>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</si>
  <si>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</si>
  <si>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</si>
  <si>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</si>
  <si>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</si>
  <si>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</si>
  <si>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</si>
  <si>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</si>
  <si>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OTE648</t>
  </si>
  <si>
    <t>0PG3ZE1PL</t>
  </si>
  <si>
    <t>0PG41E1PL</t>
  </si>
  <si>
    <t>0PG43E1PL</t>
  </si>
  <si>
    <t>0PG45E1PL</t>
  </si>
  <si>
    <t>0PG47E1PL</t>
  </si>
  <si>
    <t>LOD084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</si>
  <si>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</si>
  <si>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</si>
  <si>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</si>
  <si>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</si>
  <si>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</si>
  <si>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</si>
  <si>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</si>
  <si>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</si>
  <si>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</si>
  <si>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</si>
  <si>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</si>
  <si>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</si>
  <si>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</si>
  <si>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</si>
  <si>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</si>
  <si>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</si>
  <si>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</si>
  <si>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</si>
  <si>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</si>
  <si>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</si>
  <si>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</si>
  <si>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</si>
  <si>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JP1061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</si>
  <si>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</si>
  <si>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</si>
  <si>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</si>
  <si>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</si>
  <si>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</si>
  <si>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</si>
  <si>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</si>
  <si>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</si>
  <si>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</si>
  <si>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</si>
  <si>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</si>
  <si>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</si>
  <si>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</si>
  <si>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</si>
  <si>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</si>
  <si>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</si>
  <si>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</si>
  <si>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</si>
  <si>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</si>
  <si>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</si>
  <si>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</si>
  <si>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</si>
  <si>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</si>
  <si>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</si>
  <si>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</si>
  <si>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</si>
  <si>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</si>
  <si>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ESN103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</si>
  <si>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</si>
  <si>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</si>
  <si>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</si>
  <si>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</si>
  <si>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</si>
  <si>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</si>
  <si>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</si>
  <si>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</si>
  <si>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</si>
  <si>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</si>
  <si>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</si>
  <si>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</si>
  <si>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</si>
  <si>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</si>
  <si>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</si>
  <si>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</si>
  <si>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</si>
  <si>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</si>
  <si>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</si>
  <si>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</si>
  <si>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</si>
  <si>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</si>
  <si>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</si>
  <si>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</si>
  <si>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</si>
  <si>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</si>
  <si>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NHL072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</si>
  <si>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</si>
  <si>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</si>
  <si>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</si>
  <si>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</si>
  <si>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</si>
  <si>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</si>
  <si>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</si>
  <si>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</si>
  <si>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</si>
  <si>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</si>
  <si>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</si>
  <si>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</si>
  <si>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</si>
  <si>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</si>
  <si>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PCO012</t>
  </si>
  <si>
    <t>DPO002</t>
  </si>
  <si>
    <t>MMU673</t>
  </si>
  <si>
    <t>XY7138</t>
  </si>
  <si>
    <t>EVS383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</si>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</sst>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26" xfId="6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0" fontId="49" fillId="7" borderId="34" xfId="0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56" fillId="4" borderId="14" xfId="0" applyNumberFormat="1" applyFont="1" applyFill="1" applyBorder="1" applyAlignment="1">
      <alignment horizontal="center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14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7" fillId="4" borderId="77" xfId="0" applyFont="1" applyFill="1" applyBorder="1" applyAlignment="1">
      <alignment horizontal="center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9" fillId="7" borderId="43" xfId="7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0" fontId="47" fillId="0" borderId="6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8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9" fillId="7" borderId="33" xfId="7" applyFont="1" applyFill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5" fillId="4" borderId="34" xfId="0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50" fillId="8" borderId="28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46" fillId="4" borderId="20" xfId="0" quotePrefix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18" t="s">
        <v>0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210"/>
    </row>
    <row r="3" spans="1:15" ht="28.15" customHeight="1">
      <c r="A3" s="111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</row>
    <row r="4" spans="1:15" ht="28.15" customHeight="1">
      <c r="A4" s="1120" t="s">
        <v>4603</v>
      </c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21" t="s">
        <v>33</v>
      </c>
      <c r="I7" s="1121"/>
      <c r="J7" s="1121"/>
      <c r="K7" s="1087" t="s">
        <v>2</v>
      </c>
      <c r="L7" s="1088"/>
      <c r="M7" s="1089"/>
      <c r="N7" s="378"/>
      <c r="O7" s="379"/>
    </row>
    <row r="8" spans="1:15" ht="19.899999999999999" hidden="1" customHeight="1">
      <c r="A8" s="1090" t="s">
        <v>3</v>
      </c>
      <c r="B8" s="1092" t="s">
        <v>4</v>
      </c>
      <c r="C8" s="1092" t="s">
        <v>5</v>
      </c>
      <c r="D8" s="1092" t="s">
        <v>4291</v>
      </c>
      <c r="E8" s="1106" t="s">
        <v>6</v>
      </c>
      <c r="F8" s="1107"/>
      <c r="G8" s="1108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91"/>
      <c r="B9" s="1093"/>
      <c r="C9" s="1093"/>
      <c r="D9" s="1093"/>
      <c r="E9" s="1093" t="s">
        <v>13</v>
      </c>
      <c r="F9" s="1096" t="s">
        <v>14</v>
      </c>
      <c r="G9" s="1097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91"/>
      <c r="B10" s="1093"/>
      <c r="C10" s="1093"/>
      <c r="D10" s="1093"/>
      <c r="E10" s="1093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4433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01"/>
      <c r="O14" s="1103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4420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4" t="s">
        <v>3528</v>
      </c>
      <c r="B17" s="1085"/>
      <c r="C17" s="1085"/>
      <c r="D17" s="477"/>
      <c r="E17" s="450" t="s">
        <v>3771</v>
      </c>
      <c r="F17" s="450"/>
      <c r="G17" s="450"/>
      <c r="H17" s="1086" t="s">
        <v>3529</v>
      </c>
      <c r="I17" s="1086"/>
      <c r="J17" s="1086"/>
      <c r="K17" s="1087" t="s">
        <v>2</v>
      </c>
      <c r="L17" s="1088"/>
      <c r="M17" s="1089"/>
    </row>
    <row r="18" spans="1:15" ht="19.899999999999999" customHeight="1">
      <c r="A18" s="1090" t="s">
        <v>3</v>
      </c>
      <c r="B18" s="1092" t="s">
        <v>4</v>
      </c>
      <c r="C18" s="1092" t="s">
        <v>5</v>
      </c>
      <c r="D18" s="1092" t="s">
        <v>4291</v>
      </c>
      <c r="E18" s="1106" t="s">
        <v>6</v>
      </c>
      <c r="F18" s="1107"/>
      <c r="G18" s="1108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91"/>
      <c r="B19" s="1093"/>
      <c r="C19" s="1093"/>
      <c r="D19" s="1093"/>
      <c r="E19" s="1093" t="s">
        <v>13</v>
      </c>
      <c r="F19" s="1096" t="s">
        <v>14</v>
      </c>
      <c r="G19" s="1097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91"/>
      <c r="B20" s="1093"/>
      <c r="C20" s="1093"/>
      <c r="D20" s="1093"/>
      <c r="E20" s="1093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4608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4604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4609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4605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4610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4606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4611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01"/>
      <c r="O24" s="1102"/>
    </row>
    <row r="25" spans="1:15" ht="19.899999999999999" customHeight="1">
      <c r="A25" s="576">
        <f>A24+1</f>
        <v>27</v>
      </c>
      <c r="B25" s="577" t="s">
        <v>4607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4612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4" t="s">
        <v>4154</v>
      </c>
      <c r="B27" s="1085"/>
      <c r="C27" s="1085"/>
      <c r="D27" s="477"/>
      <c r="E27" s="450" t="s">
        <v>74</v>
      </c>
      <c r="F27" s="450" t="s">
        <v>4161</v>
      </c>
      <c r="G27" s="450"/>
      <c r="H27" s="1086" t="s">
        <v>4162</v>
      </c>
      <c r="I27" s="1086"/>
      <c r="J27" s="1086"/>
      <c r="K27" s="1087" t="s">
        <v>2</v>
      </c>
      <c r="L27" s="1088"/>
      <c r="M27" s="1089"/>
    </row>
    <row r="28" spans="1:15" ht="19.899999999999999" customHeight="1">
      <c r="A28" s="1090" t="s">
        <v>3</v>
      </c>
      <c r="B28" s="1092" t="s">
        <v>4</v>
      </c>
      <c r="C28" s="1092" t="s">
        <v>5</v>
      </c>
      <c r="D28" s="1092" t="s">
        <v>4291</v>
      </c>
      <c r="E28" s="1106" t="s">
        <v>6</v>
      </c>
      <c r="F28" s="1107"/>
      <c r="G28" s="1108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91"/>
      <c r="B29" s="1093"/>
      <c r="C29" s="1093"/>
      <c r="D29" s="1093"/>
      <c r="E29" s="1093" t="s">
        <v>13</v>
      </c>
      <c r="F29" s="1096" t="s">
        <v>14</v>
      </c>
      <c r="G29" s="1097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91"/>
      <c r="B30" s="1093"/>
      <c r="C30" s="1093"/>
      <c r="D30" s="1093"/>
      <c r="E30" s="1093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4528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4530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4613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4617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4614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4618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4615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4619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01"/>
      <c r="O34" s="1102"/>
    </row>
    <row r="35" spans="1:21" ht="19.899999999999999" customHeight="1" thickBot="1">
      <c r="A35" s="569">
        <f>A34+1</f>
        <v>26</v>
      </c>
      <c r="B35" s="570" t="s">
        <v>4616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4620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10" t="s">
        <v>73</v>
      </c>
      <c r="B37" s="1111"/>
      <c r="C37" s="1111"/>
      <c r="D37" s="480"/>
      <c r="E37" s="1104" t="s">
        <v>74</v>
      </c>
      <c r="F37" s="1104"/>
      <c r="G37" s="1104"/>
      <c r="H37" s="1104"/>
      <c r="I37" s="1104" t="s">
        <v>75</v>
      </c>
      <c r="J37" s="1105"/>
      <c r="K37" s="1098" t="s">
        <v>2</v>
      </c>
      <c r="L37" s="1099"/>
      <c r="M37" s="1099"/>
      <c r="N37" s="1099"/>
      <c r="O37" s="1099"/>
      <c r="P37" s="1100"/>
      <c r="Q37" s="102"/>
      <c r="R37" s="102"/>
      <c r="S37" s="102"/>
      <c r="T37" s="102"/>
      <c r="U37" s="102"/>
    </row>
    <row r="38" spans="1:21" s="290" customFormat="1" ht="19.899999999999999" customHeight="1">
      <c r="A38" s="1112" t="s">
        <v>3</v>
      </c>
      <c r="B38" s="1115" t="s">
        <v>4</v>
      </c>
      <c r="C38" s="1115" t="s">
        <v>5</v>
      </c>
      <c r="D38" s="1092" t="s">
        <v>4291</v>
      </c>
      <c r="E38" s="1106" t="s">
        <v>6</v>
      </c>
      <c r="F38" s="1107"/>
      <c r="G38" s="1108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3"/>
      <c r="B39" s="1116"/>
      <c r="C39" s="1116"/>
      <c r="D39" s="1094"/>
      <c r="E39" s="1094" t="s">
        <v>13</v>
      </c>
      <c r="F39" s="1096" t="s">
        <v>14</v>
      </c>
      <c r="G39" s="1097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4"/>
      <c r="B40" s="1117"/>
      <c r="C40" s="1117"/>
      <c r="D40" s="1095"/>
      <c r="E40" s="1095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4531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4532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4621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4625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4622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4626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4623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4627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4624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4628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09"/>
      <c r="B46" s="1109"/>
      <c r="C46" s="1109"/>
      <c r="D46" s="1109"/>
      <c r="E46" s="1109"/>
      <c r="F46" s="1109"/>
      <c r="G46" s="1109"/>
      <c r="H46" s="1109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zoomScale="85" zoomScaleNormal="85" zoomScaleSheetLayoutView="85" workbookViewId="0">
      <selection activeCell="Q172" sqref="Q172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18" t="s">
        <v>0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</row>
    <row r="3" spans="1:17" ht="28.15" customHeight="1">
      <c r="B3" s="174"/>
    </row>
    <row r="4" spans="1:17" ht="28.15" customHeight="1">
      <c r="A4" s="1118" t="str">
        <f>AU!A4</f>
        <v>2019年06月船期表</v>
      </c>
      <c r="B4" s="1118"/>
      <c r="C4" s="1118"/>
      <c r="D4" s="1118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</row>
    <row r="5" spans="1:17" ht="28.15" customHeight="1" thickBot="1"/>
    <row r="6" spans="1:17" ht="25.9" customHeight="1" thickBot="1">
      <c r="A6" s="1235" t="s">
        <v>86</v>
      </c>
      <c r="B6" s="1236"/>
      <c r="C6" s="1237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3" t="s">
        <v>2</v>
      </c>
      <c r="L6" s="1167"/>
      <c r="M6" s="1167"/>
      <c r="N6" s="1167"/>
      <c r="O6" s="1167"/>
      <c r="P6" s="1167"/>
      <c r="Q6" s="470"/>
    </row>
    <row r="7" spans="1:17" ht="19.899999999999999" customHeight="1">
      <c r="A7" s="1213" t="s">
        <v>3</v>
      </c>
      <c r="B7" s="1215" t="s">
        <v>4</v>
      </c>
      <c r="C7" s="1217" t="s">
        <v>5</v>
      </c>
      <c r="D7" s="1150" t="s">
        <v>4291</v>
      </c>
      <c r="E7" s="1151" t="s">
        <v>6</v>
      </c>
      <c r="F7" s="1152"/>
      <c r="G7" s="1153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13"/>
      <c r="B8" s="1215"/>
      <c r="C8" s="1217"/>
      <c r="D8" s="1094"/>
      <c r="E8" s="1094" t="s">
        <v>13</v>
      </c>
      <c r="F8" s="1096" t="s">
        <v>14</v>
      </c>
      <c r="G8" s="1097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13"/>
      <c r="B9" s="1215"/>
      <c r="C9" s="1217"/>
      <c r="D9" s="1240"/>
      <c r="E9" s="1240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4533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4629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4630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656</v>
      </c>
      <c r="D13" s="932" t="str">
        <f>VLOOKUP(C13,'ships name'!B:C,2,FALSE)</f>
        <v>美总圣地亚哥</v>
      </c>
      <c r="E13" s="580" t="str">
        <f t="shared" si="1"/>
        <v>0SV49W</v>
      </c>
      <c r="F13" s="580" t="str">
        <f t="shared" si="2"/>
        <v>0SV49W</v>
      </c>
      <c r="G13" s="580" t="s">
        <v>4631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4632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38" t="s">
        <v>95</v>
      </c>
      <c r="B17" s="1239"/>
      <c r="C17" s="1239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41" t="s">
        <v>2</v>
      </c>
      <c r="M17" s="1241"/>
      <c r="N17" s="1241"/>
      <c r="O17" s="1241"/>
      <c r="P17" s="1242"/>
      <c r="Q17" s="1178"/>
      <c r="R17" s="223"/>
    </row>
    <row r="18" spans="1:18" ht="19.899999999999999" hidden="1" customHeight="1">
      <c r="A18" s="1243" t="s">
        <v>3</v>
      </c>
      <c r="B18" s="1219" t="s">
        <v>4</v>
      </c>
      <c r="C18" s="1233" t="s">
        <v>5</v>
      </c>
      <c r="D18" s="512"/>
      <c r="E18" s="1150" t="s">
        <v>6</v>
      </c>
      <c r="F18" s="1150"/>
      <c r="G18" s="1150"/>
      <c r="H18" s="1150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78"/>
      <c r="R18" s="298"/>
    </row>
    <row r="19" spans="1:18" ht="32.25" hidden="1" customHeight="1">
      <c r="A19" s="1243"/>
      <c r="B19" s="1219"/>
      <c r="C19" s="1233"/>
      <c r="D19" s="512"/>
      <c r="E19" s="1240" t="s">
        <v>13</v>
      </c>
      <c r="F19" s="333"/>
      <c r="G19" s="483"/>
      <c r="H19" s="1246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78"/>
      <c r="R19" s="298"/>
    </row>
    <row r="20" spans="1:18" ht="19.899999999999999" hidden="1" customHeight="1" thickBot="1">
      <c r="A20" s="1244"/>
      <c r="B20" s="1220"/>
      <c r="C20" s="1234"/>
      <c r="D20" s="513"/>
      <c r="E20" s="1220"/>
      <c r="F20" s="334"/>
      <c r="G20" s="484"/>
      <c r="H20" s="1247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78"/>
      <c r="R20" s="298"/>
    </row>
    <row r="21" spans="1:18" s="283" customFormat="1" ht="19.899999999999999" hidden="1" customHeight="1">
      <c r="A21" s="1245">
        <v>31</v>
      </c>
      <c r="B21" s="1206"/>
      <c r="C21" s="110" t="e">
        <f>VLOOKUP((LEFT(B21,3)),'ships name'!A:C,2,FALSE)</f>
        <v>#N/A</v>
      </c>
      <c r="D21" s="558"/>
      <c r="E21" s="1245"/>
      <c r="F21" s="1160" t="str">
        <f>RIGHT(B21,3)&amp;"W"</f>
        <v>W</v>
      </c>
      <c r="G21" s="505"/>
      <c r="H21" s="1209"/>
      <c r="I21" s="1140">
        <f>J21-2</f>
        <v>43314</v>
      </c>
      <c r="J21" s="1140">
        <f>K21</f>
        <v>43316</v>
      </c>
      <c r="K21" s="1193">
        <v>43316</v>
      </c>
      <c r="L21" s="1132">
        <f>K21+7</f>
        <v>43323</v>
      </c>
      <c r="M21" s="1136">
        <f>K21+16</f>
        <v>43332</v>
      </c>
      <c r="N21" s="1136">
        <f>K21+17</f>
        <v>43333</v>
      </c>
      <c r="O21" s="1136">
        <f>N21+2</f>
        <v>43335</v>
      </c>
      <c r="P21" s="1128">
        <f>K21+20</f>
        <v>43336</v>
      </c>
      <c r="Q21" s="1174"/>
      <c r="R21" s="1169"/>
    </row>
    <row r="22" spans="1:18" s="283" customFormat="1" ht="19.899999999999999" hidden="1" customHeight="1">
      <c r="A22" s="1230"/>
      <c r="B22" s="1206"/>
      <c r="C22" s="109" t="e">
        <f>VLOOKUP((LEFT(B21,3)),'ships name'!A:C,3,FALSE)</f>
        <v>#N/A</v>
      </c>
      <c r="D22" s="493"/>
      <c r="E22" s="1230"/>
      <c r="F22" s="1161"/>
      <c r="G22" s="506"/>
      <c r="H22" s="1202"/>
      <c r="I22" s="1141"/>
      <c r="J22" s="1141"/>
      <c r="K22" s="1194"/>
      <c r="L22" s="1133"/>
      <c r="M22" s="1137"/>
      <c r="N22" s="1137"/>
      <c r="O22" s="1137"/>
      <c r="P22" s="1129"/>
      <c r="Q22" s="1175"/>
      <c r="R22" s="1169"/>
    </row>
    <row r="23" spans="1:18" s="283" customFormat="1" ht="19.899999999999999" hidden="1" customHeight="1">
      <c r="A23" s="1250">
        <f>A21+1</f>
        <v>32</v>
      </c>
      <c r="B23" s="1192"/>
      <c r="C23" s="110" t="e">
        <f>VLOOKUP((LEFT(B23,3)),'ships name'!A:C,2,FALSE)</f>
        <v>#N/A</v>
      </c>
      <c r="D23" s="558"/>
      <c r="E23" s="1248"/>
      <c r="F23" s="1160" t="str">
        <f>RIGHT(B23,3)&amp;"W"</f>
        <v>W</v>
      </c>
      <c r="G23" s="505"/>
      <c r="H23" s="1209" t="s">
        <v>4086</v>
      </c>
      <c r="I23" s="1253">
        <f>I21+7</f>
        <v>43321</v>
      </c>
      <c r="J23" s="1126">
        <f>J21+7</f>
        <v>43323</v>
      </c>
      <c r="K23" s="1126">
        <f>K21+7</f>
        <v>43323</v>
      </c>
      <c r="L23" s="1132">
        <f>K23+7</f>
        <v>43330</v>
      </c>
      <c r="M23" s="1136">
        <f>K23+16</f>
        <v>43339</v>
      </c>
      <c r="N23" s="1136">
        <f>K23+17</f>
        <v>43340</v>
      </c>
      <c r="O23" s="1136">
        <f>N23+2</f>
        <v>43342</v>
      </c>
      <c r="P23" s="1128">
        <f>K23+20</f>
        <v>43343</v>
      </c>
      <c r="Q23" s="1174"/>
      <c r="R23" s="1170"/>
    </row>
    <row r="24" spans="1:18" s="283" customFormat="1" ht="19.899999999999999" hidden="1" customHeight="1">
      <c r="A24" s="1250"/>
      <c r="B24" s="1192"/>
      <c r="C24" s="109" t="e">
        <f>VLOOKUP((LEFT(B23,3)),'ships name'!A:C,3,FALSE)</f>
        <v>#N/A</v>
      </c>
      <c r="D24" s="493"/>
      <c r="E24" s="1230"/>
      <c r="F24" s="1161"/>
      <c r="G24" s="506"/>
      <c r="H24" s="1202"/>
      <c r="I24" s="1195"/>
      <c r="J24" s="1127"/>
      <c r="K24" s="1127"/>
      <c r="L24" s="1133"/>
      <c r="M24" s="1137"/>
      <c r="N24" s="1137"/>
      <c r="O24" s="1137"/>
      <c r="P24" s="1129"/>
      <c r="Q24" s="1175"/>
      <c r="R24" s="1171"/>
    </row>
    <row r="25" spans="1:18" s="283" customFormat="1" ht="19.899999999999999" hidden="1" customHeight="1">
      <c r="A25" s="1230">
        <f>A23+1</f>
        <v>33</v>
      </c>
      <c r="B25" s="1192"/>
      <c r="C25" s="110" t="e">
        <f>VLOOKUP((LEFT(B25,3)),'ships name'!A:C,2,FALSE)</f>
        <v>#N/A</v>
      </c>
      <c r="D25" s="558"/>
      <c r="E25" s="1248"/>
      <c r="F25" s="1160" t="str">
        <f>RIGHT(B25,3)&amp;"W"</f>
        <v>W</v>
      </c>
      <c r="G25" s="505"/>
      <c r="H25" s="1138" t="s">
        <v>29</v>
      </c>
      <c r="I25" s="1140">
        <f t="shared" ref="I25:J27" si="10">I23+7</f>
        <v>43328</v>
      </c>
      <c r="J25" s="1126">
        <f t="shared" si="10"/>
        <v>43330</v>
      </c>
      <c r="K25" s="1126">
        <f>K23+7</f>
        <v>43330</v>
      </c>
      <c r="L25" s="1132">
        <f>K25+7</f>
        <v>43337</v>
      </c>
      <c r="M25" s="1136">
        <f>K25+16</f>
        <v>43346</v>
      </c>
      <c r="N25" s="1136">
        <f>K25+17</f>
        <v>43347</v>
      </c>
      <c r="O25" s="1136">
        <f>N25+2</f>
        <v>43349</v>
      </c>
      <c r="P25" s="1128">
        <f>K25+20</f>
        <v>43350</v>
      </c>
      <c r="Q25" s="1174"/>
      <c r="R25" s="1169"/>
    </row>
    <row r="26" spans="1:18" s="283" customFormat="1" ht="19.899999999999999" hidden="1" customHeight="1">
      <c r="A26" s="1250"/>
      <c r="B26" s="1192"/>
      <c r="C26" s="109" t="e">
        <f>VLOOKUP((LEFT(B25,3)),'ships name'!A:C,3,FALSE)</f>
        <v>#N/A</v>
      </c>
      <c r="D26" s="493"/>
      <c r="E26" s="1230"/>
      <c r="F26" s="1161"/>
      <c r="G26" s="506"/>
      <c r="H26" s="1139"/>
      <c r="I26" s="1141"/>
      <c r="J26" s="1127"/>
      <c r="K26" s="1127"/>
      <c r="L26" s="1133"/>
      <c r="M26" s="1137"/>
      <c r="N26" s="1137"/>
      <c r="O26" s="1137"/>
      <c r="P26" s="1129"/>
      <c r="Q26" s="1175"/>
      <c r="R26" s="1172"/>
    </row>
    <row r="27" spans="1:18" s="283" customFormat="1" ht="19.899999999999999" hidden="1" customHeight="1">
      <c r="A27" s="1230">
        <f>A25+1</f>
        <v>34</v>
      </c>
      <c r="B27" s="1206"/>
      <c r="C27" s="110" t="e">
        <f>VLOOKUP((LEFT(B27,3)),'ships name'!A:C,2,FALSE)</f>
        <v>#N/A</v>
      </c>
      <c r="D27" s="558"/>
      <c r="E27" s="1248"/>
      <c r="F27" s="1160" t="str">
        <f>RIGHT(B27,3)&amp;"W"</f>
        <v>W</v>
      </c>
      <c r="G27" s="505"/>
      <c r="H27" s="1138" t="s">
        <v>4087</v>
      </c>
      <c r="I27" s="1140">
        <f t="shared" si="10"/>
        <v>43335</v>
      </c>
      <c r="J27" s="1126">
        <f t="shared" si="10"/>
        <v>43337</v>
      </c>
      <c r="K27" s="1126">
        <f>K25+7</f>
        <v>43337</v>
      </c>
      <c r="L27" s="1132">
        <f>K27+7</f>
        <v>43344</v>
      </c>
      <c r="M27" s="1136">
        <f>K27+16</f>
        <v>43353</v>
      </c>
      <c r="N27" s="1136">
        <f>K27+17</f>
        <v>43354</v>
      </c>
      <c r="O27" s="1136">
        <f>N27+2</f>
        <v>43356</v>
      </c>
      <c r="P27" s="1128">
        <f>K27+20</f>
        <v>43357</v>
      </c>
      <c r="Q27" s="1174"/>
      <c r="R27" s="1169"/>
    </row>
    <row r="28" spans="1:18" s="283" customFormat="1" ht="19.899999999999999" hidden="1" customHeight="1">
      <c r="A28" s="1250"/>
      <c r="B28" s="1206"/>
      <c r="C28" s="109" t="e">
        <f>VLOOKUP((LEFT(B27,3)),'ships name'!A:C,3,FALSE)</f>
        <v>#N/A</v>
      </c>
      <c r="D28" s="493"/>
      <c r="E28" s="1230"/>
      <c r="F28" s="1161"/>
      <c r="G28" s="506"/>
      <c r="H28" s="1139"/>
      <c r="I28" s="1141"/>
      <c r="J28" s="1127"/>
      <c r="K28" s="1127"/>
      <c r="L28" s="1133"/>
      <c r="M28" s="1137"/>
      <c r="N28" s="1137"/>
      <c r="O28" s="1137"/>
      <c r="P28" s="1129"/>
      <c r="Q28" s="1175"/>
      <c r="R28" s="1172"/>
    </row>
    <row r="29" spans="1:18" s="283" customFormat="1" ht="19.899999999999999" hidden="1" customHeight="1">
      <c r="A29" s="1230">
        <f>A27+1</f>
        <v>35</v>
      </c>
      <c r="B29" s="1251"/>
      <c r="C29" s="110" t="e">
        <f>VLOOKUP((LEFT(B29,3)),'ships name'!A:C,2,FALSE)</f>
        <v>#N/A</v>
      </c>
      <c r="D29" s="558"/>
      <c r="E29" s="1248"/>
      <c r="F29" s="1254" t="str">
        <f>RIGHT(B29,3)&amp;"W"</f>
        <v>W</v>
      </c>
      <c r="G29" s="509"/>
      <c r="H29" s="1122" t="s">
        <v>4088</v>
      </c>
      <c r="I29" s="1176">
        <f>I27+7</f>
        <v>43342</v>
      </c>
      <c r="J29" s="1124">
        <f>J27+7</f>
        <v>43344</v>
      </c>
      <c r="K29" s="1124">
        <f>K27+7</f>
        <v>43344</v>
      </c>
      <c r="L29" s="1134">
        <f>K29+7</f>
        <v>43351</v>
      </c>
      <c r="M29" s="1142">
        <f>K29+16</f>
        <v>43360</v>
      </c>
      <c r="N29" s="1142">
        <f>K29+17</f>
        <v>43361</v>
      </c>
      <c r="O29" s="1142">
        <f>N29+2</f>
        <v>43363</v>
      </c>
      <c r="P29" s="1130">
        <f>K29+20</f>
        <v>43364</v>
      </c>
      <c r="Q29" s="1174"/>
      <c r="R29" s="1169"/>
    </row>
    <row r="30" spans="1:18" s="283" customFormat="1" ht="19.899999999999999" hidden="1" customHeight="1" thickBot="1">
      <c r="A30" s="1261"/>
      <c r="B30" s="1207"/>
      <c r="C30" s="111" t="e">
        <f>VLOOKUP((LEFT(B29,3)),'ships name'!A:C,3,FALSE)</f>
        <v>#N/A</v>
      </c>
      <c r="D30" s="511"/>
      <c r="E30" s="1249"/>
      <c r="F30" s="1208"/>
      <c r="G30" s="510"/>
      <c r="H30" s="1123"/>
      <c r="I30" s="1177"/>
      <c r="J30" s="1125"/>
      <c r="K30" s="1125"/>
      <c r="L30" s="1135"/>
      <c r="M30" s="1143"/>
      <c r="N30" s="1143"/>
      <c r="O30" s="1143"/>
      <c r="P30" s="1131"/>
      <c r="Q30" s="1175"/>
      <c r="R30" s="1172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11" t="s">
        <v>102</v>
      </c>
      <c r="B33" s="1212"/>
      <c r="C33" s="1212"/>
      <c r="D33" s="550"/>
      <c r="E33" s="226" t="s">
        <v>74</v>
      </c>
      <c r="F33" s="226"/>
      <c r="G33" s="226"/>
      <c r="H33" s="1252" t="s">
        <v>75</v>
      </c>
      <c r="I33" s="1252"/>
      <c r="J33" s="1252"/>
      <c r="K33" s="1173" t="s">
        <v>2</v>
      </c>
      <c r="L33" s="1167"/>
      <c r="M33" s="1167"/>
      <c r="N33" s="1168"/>
      <c r="O33" s="223"/>
      <c r="P33" s="223"/>
      <c r="Q33" s="223"/>
    </row>
    <row r="34" spans="1:17" ht="19.899999999999999" customHeight="1">
      <c r="A34" s="1213" t="s">
        <v>3</v>
      </c>
      <c r="B34" s="1215" t="s">
        <v>4</v>
      </c>
      <c r="C34" s="1217" t="s">
        <v>5</v>
      </c>
      <c r="D34" s="1150" t="s">
        <v>4291</v>
      </c>
      <c r="E34" s="1151" t="s">
        <v>6</v>
      </c>
      <c r="F34" s="1152"/>
      <c r="G34" s="1153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4524</v>
      </c>
      <c r="N34" s="295" t="s">
        <v>105</v>
      </c>
    </row>
    <row r="35" spans="1:17" ht="19.899999999999999" customHeight="1">
      <c r="A35" s="1213"/>
      <c r="B35" s="1215"/>
      <c r="C35" s="1217"/>
      <c r="D35" s="1094"/>
      <c r="E35" s="1094" t="s">
        <v>13</v>
      </c>
      <c r="F35" s="1096" t="s">
        <v>14</v>
      </c>
      <c r="G35" s="1097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4"/>
      <c r="B36" s="1216"/>
      <c r="C36" s="1218"/>
      <c r="D36" s="1095"/>
      <c r="E36" s="1095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4534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4536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4633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4637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4634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4638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4635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4639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4636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4640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11" t="s">
        <v>106</v>
      </c>
      <c r="B43" s="1212"/>
      <c r="C43" s="1212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3" t="s">
        <v>2</v>
      </c>
      <c r="L43" s="1167"/>
      <c r="M43" s="1167"/>
      <c r="N43" s="1168"/>
      <c r="O43" s="223"/>
      <c r="P43" s="223"/>
      <c r="Q43" s="223"/>
    </row>
    <row r="44" spans="1:17" ht="19.899999999999999" hidden="1" customHeight="1">
      <c r="A44" s="1213" t="s">
        <v>3</v>
      </c>
      <c r="B44" s="1215" t="s">
        <v>4</v>
      </c>
      <c r="C44" s="1217" t="s">
        <v>5</v>
      </c>
      <c r="D44" s="1150" t="s">
        <v>4291</v>
      </c>
      <c r="E44" s="1151" t="s">
        <v>6</v>
      </c>
      <c r="F44" s="1152"/>
      <c r="G44" s="1153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13"/>
      <c r="B45" s="1215"/>
      <c r="C45" s="1217"/>
      <c r="D45" s="1094"/>
      <c r="E45" s="1094" t="s">
        <v>13</v>
      </c>
      <c r="F45" s="1096" t="s">
        <v>14</v>
      </c>
      <c r="G45" s="1097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4"/>
      <c r="B46" s="1216"/>
      <c r="C46" s="1218"/>
      <c r="D46" s="1095"/>
      <c r="E46" s="1095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11" t="s">
        <v>3300</v>
      </c>
      <c r="B53" s="1212"/>
      <c r="C53" s="1212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3" t="s">
        <v>2</v>
      </c>
      <c r="L53" s="1167"/>
      <c r="M53" s="1167"/>
      <c r="N53" s="1167"/>
      <c r="O53" s="1167"/>
      <c r="P53" s="1168"/>
      <c r="Q53" s="223"/>
    </row>
    <row r="54" spans="1:19" ht="19.899999999999999" customHeight="1">
      <c r="A54" s="1213" t="s">
        <v>3</v>
      </c>
      <c r="B54" s="1215" t="s">
        <v>4</v>
      </c>
      <c r="C54" s="1217" t="s">
        <v>5</v>
      </c>
      <c r="D54" s="1150" t="s">
        <v>4291</v>
      </c>
      <c r="E54" s="1151" t="s">
        <v>6</v>
      </c>
      <c r="F54" s="1152"/>
      <c r="G54" s="1153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13"/>
      <c r="B55" s="1215"/>
      <c r="C55" s="1217"/>
      <c r="D55" s="1094"/>
      <c r="E55" s="1094" t="s">
        <v>13</v>
      </c>
      <c r="F55" s="1096" t="s">
        <v>14</v>
      </c>
      <c r="G55" s="1097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4"/>
      <c r="B56" s="1216"/>
      <c r="C56" s="1218"/>
      <c r="D56" s="1095"/>
      <c r="E56" s="1095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4535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4641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4645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4642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4646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4643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4647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4644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4648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11" t="s">
        <v>111</v>
      </c>
      <c r="B63" s="1212"/>
      <c r="C63" s="1212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67" t="s">
        <v>2</v>
      </c>
      <c r="L63" s="1167"/>
      <c r="M63" s="1167"/>
      <c r="N63" s="1167"/>
      <c r="O63" s="1168"/>
    </row>
    <row r="64" spans="1:19" ht="19.899999999999999" customHeight="1">
      <c r="A64" s="1231" t="s">
        <v>3</v>
      </c>
      <c r="B64" s="1219" t="s">
        <v>4</v>
      </c>
      <c r="C64" s="1233" t="s">
        <v>5</v>
      </c>
      <c r="D64" s="1150" t="s">
        <v>4291</v>
      </c>
      <c r="E64" s="1151" t="s">
        <v>6</v>
      </c>
      <c r="F64" s="1152"/>
      <c r="G64" s="1153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31"/>
      <c r="B65" s="1219"/>
      <c r="C65" s="1233"/>
      <c r="D65" s="1094"/>
      <c r="E65" s="1094" t="s">
        <v>13</v>
      </c>
      <c r="F65" s="1096" t="s">
        <v>14</v>
      </c>
      <c r="G65" s="1097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32"/>
      <c r="B66" s="1220"/>
      <c r="C66" s="1234"/>
      <c r="D66" s="1095"/>
      <c r="E66" s="1095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4649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4653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4650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4654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4651</v>
      </c>
      <c r="C69" s="499" t="str">
        <f>VLOOKUP((LEFT(B69,3)),'ships name'!A:C,2,FALSE)</f>
        <v>EVER URSULA</v>
      </c>
      <c r="D69" s="809" t="str">
        <f>VLOOKUP(C69,'ships name'!B:C,2,FALSE)</f>
        <v>长勇轮</v>
      </c>
      <c r="E69" s="577" t="str">
        <f>TEXT(LEFT(F69,3)-1,"000")&amp;"E"</f>
        <v>152E</v>
      </c>
      <c r="F69" s="580" t="str">
        <f>RIGHT(B69,3)&amp;"W"</f>
        <v>153W</v>
      </c>
      <c r="G69" s="487" t="s">
        <v>4655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4652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4656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27</v>
      </c>
      <c r="C71" s="499" t="str">
        <f>VLOOKUP((LEFT(B71,3)),'ships name'!A:C,2,FALSE)</f>
        <v>TO BE ADVISED</v>
      </c>
      <c r="D71" s="812" t="str">
        <f>VLOOKUP(C71,'ships name'!B:C,2,FALSE)</f>
        <v>TO BE ADVISED</v>
      </c>
      <c r="E71" s="577" t="e">
        <f>TEXT(LEFT(F71,3)-1,"000")&amp;"E"</f>
        <v>#VALUE!</v>
      </c>
      <c r="F71" s="580" t="str">
        <f>RIGHT(B71,3)&amp;"W"</f>
        <v>TBAW</v>
      </c>
      <c r="G71" s="487" t="s">
        <v>4657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79" t="s">
        <v>1</v>
      </c>
      <c r="I73" s="1179"/>
      <c r="J73" s="1179"/>
      <c r="K73" s="1179" t="s">
        <v>58</v>
      </c>
      <c r="L73" s="1179"/>
      <c r="M73" s="1180"/>
      <c r="N73" s="1183" t="s">
        <v>2</v>
      </c>
      <c r="O73" s="1184"/>
    </row>
    <row r="74" spans="1:20" ht="19.899999999999999" hidden="1" customHeight="1">
      <c r="A74" s="1223" t="s">
        <v>3</v>
      </c>
      <c r="B74" s="1206" t="s">
        <v>4</v>
      </c>
      <c r="C74" s="1206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23"/>
      <c r="B75" s="1206"/>
      <c r="C75" s="1206"/>
      <c r="D75" s="439"/>
      <c r="E75" s="1206" t="s">
        <v>121</v>
      </c>
      <c r="F75" s="1206" t="s">
        <v>29</v>
      </c>
      <c r="G75" s="439"/>
      <c r="H75" s="1206" t="s">
        <v>122</v>
      </c>
      <c r="I75" s="1206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4"/>
      <c r="B76" s="1207"/>
      <c r="C76" s="1207"/>
      <c r="D76" s="616"/>
      <c r="E76" s="1207"/>
      <c r="F76" s="1207"/>
      <c r="G76" s="616"/>
      <c r="H76" s="1207"/>
      <c r="I76" s="1207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5">
        <f>A67</f>
        <v>23</v>
      </c>
      <c r="B77" s="1229" t="s">
        <v>130</v>
      </c>
      <c r="C77" s="110" t="str">
        <f>VLOOKUP((LEFT(B77,3)),'ships name'!A:C,2,FALSE)</f>
        <v>KEA</v>
      </c>
      <c r="D77" s="558"/>
      <c r="E77" s="1209" t="str">
        <f>TEXT(LEFT(H77,3)-1,"000")&amp;"E"</f>
        <v>011E</v>
      </c>
      <c r="F77" s="1160" t="str">
        <f>E77</f>
        <v>011E</v>
      </c>
      <c r="G77" s="505"/>
      <c r="H77" s="1209" t="str">
        <f>RIGHT(B77,3)&amp;"W"</f>
        <v>012W</v>
      </c>
      <c r="I77" s="1204" t="str">
        <f>"W"&amp;LEFT(H77,3)</f>
        <v>W012</v>
      </c>
      <c r="J77" s="1202">
        <f>L77-2</f>
        <v>42828</v>
      </c>
      <c r="K77" s="1187">
        <f>J77+1</f>
        <v>42829</v>
      </c>
      <c r="L77" s="1189">
        <v>42830</v>
      </c>
      <c r="M77" s="1202">
        <f>L77+18</f>
        <v>42848</v>
      </c>
      <c r="N77" s="1185">
        <f>L77+20</f>
        <v>42850</v>
      </c>
    </row>
    <row r="78" spans="1:20" ht="19.899999999999999" hidden="1" customHeight="1">
      <c r="A78" s="1223"/>
      <c r="B78" s="1192"/>
      <c r="C78" s="109" t="str">
        <f>VLOOKUP((LEFT(B77,3)),'ships name'!A:C,3,FALSE)</f>
        <v>宏润</v>
      </c>
      <c r="D78" s="493"/>
      <c r="E78" s="1202"/>
      <c r="F78" s="1161"/>
      <c r="G78" s="506"/>
      <c r="H78" s="1202"/>
      <c r="I78" s="1205"/>
      <c r="J78" s="1192"/>
      <c r="K78" s="1192"/>
      <c r="L78" s="1189"/>
      <c r="M78" s="1192"/>
      <c r="N78" s="1186"/>
    </row>
    <row r="79" spans="1:20" ht="19.899999999999999" hidden="1" customHeight="1">
      <c r="A79" s="1226">
        <f>A68</f>
        <v>24</v>
      </c>
      <c r="B79" s="1230" t="s">
        <v>131</v>
      </c>
      <c r="C79" s="110" t="str">
        <f>VLOOKUP((LEFT(B79,3)),'ships name'!A:C,2,FALSE)</f>
        <v>OOCL CHICAGO</v>
      </c>
      <c r="D79" s="558"/>
      <c r="E79" s="1209" t="str">
        <f>TEXT(LEFT(H79,3)-1,"000")&amp;"E"</f>
        <v>038E</v>
      </c>
      <c r="F79" s="1160" t="str">
        <f>E79</f>
        <v>038E</v>
      </c>
      <c r="G79" s="505"/>
      <c r="H79" s="1209" t="str">
        <f>RIGHT(B79,3)&amp;"W"</f>
        <v>039W</v>
      </c>
      <c r="I79" s="1204" t="str">
        <f>"W"&amp;LEFT(H79,3)</f>
        <v>W039</v>
      </c>
      <c r="J79" s="1210">
        <f>J77+7</f>
        <v>42835</v>
      </c>
      <c r="K79" s="1181">
        <f>J79+1</f>
        <v>42836</v>
      </c>
      <c r="L79" s="1166">
        <f>K79+1</f>
        <v>42837</v>
      </c>
      <c r="M79" s="1195">
        <f>L79+18</f>
        <v>42855</v>
      </c>
      <c r="N79" s="1127">
        <f>L79+20</f>
        <v>42857</v>
      </c>
    </row>
    <row r="80" spans="1:20" ht="19.899999999999999" hidden="1" customHeight="1">
      <c r="A80" s="1223"/>
      <c r="B80" s="1192"/>
      <c r="C80" s="109" t="str">
        <f>VLOOKUP((LEFT(B79,3)),'ships name'!A:C,3,FALSE)</f>
        <v>东方芝加哥</v>
      </c>
      <c r="D80" s="493"/>
      <c r="E80" s="1202"/>
      <c r="F80" s="1161"/>
      <c r="G80" s="506"/>
      <c r="H80" s="1202"/>
      <c r="I80" s="1205"/>
      <c r="J80" s="1195"/>
      <c r="K80" s="1182"/>
      <c r="L80" s="1166"/>
      <c r="M80" s="1182"/>
      <c r="N80" s="1203"/>
    </row>
    <row r="81" spans="1:19" ht="19.899999999999999" hidden="1" customHeight="1">
      <c r="A81" s="1226">
        <f>A69</f>
        <v>25</v>
      </c>
      <c r="B81" s="1227"/>
      <c r="C81" s="110" t="e">
        <f>VLOOKUP((LEFT(B81,3)),'ships name'!A:C,2,FALSE)</f>
        <v>#N/A</v>
      </c>
      <c r="D81" s="558"/>
      <c r="E81" s="1209" t="e">
        <f>TEXT(LEFT(H81,3)-1,"000")&amp;"E"</f>
        <v>#VALUE!</v>
      </c>
      <c r="F81" s="1160" t="e">
        <f>E81</f>
        <v>#VALUE!</v>
      </c>
      <c r="G81" s="505"/>
      <c r="H81" s="1209" t="str">
        <f>RIGHT(B81,3)&amp;"W"</f>
        <v>W</v>
      </c>
      <c r="I81" s="1204" t="str">
        <f>"W"&amp;LEFT(H81,3)</f>
        <v>WW</v>
      </c>
      <c r="J81" s="1210">
        <f>J79+7</f>
        <v>42842</v>
      </c>
      <c r="K81" s="1181">
        <f>J81+1</f>
        <v>42843</v>
      </c>
      <c r="L81" s="1166">
        <f>K81+1</f>
        <v>42844</v>
      </c>
      <c r="M81" s="1195">
        <f>L81+18</f>
        <v>42862</v>
      </c>
      <c r="N81" s="1127">
        <f>L81+20</f>
        <v>42864</v>
      </c>
    </row>
    <row r="82" spans="1:19" ht="19.899999999999999" hidden="1" customHeight="1">
      <c r="A82" s="1223"/>
      <c r="B82" s="1228"/>
      <c r="C82" s="109" t="e">
        <f>VLOOKUP((LEFT(B81,3)),'ships name'!A:C,3,FALSE)</f>
        <v>#N/A</v>
      </c>
      <c r="D82" s="493"/>
      <c r="E82" s="1202"/>
      <c r="F82" s="1161"/>
      <c r="G82" s="506"/>
      <c r="H82" s="1202"/>
      <c r="I82" s="1205"/>
      <c r="J82" s="1195"/>
      <c r="K82" s="1182"/>
      <c r="L82" s="1166"/>
      <c r="M82" s="1182"/>
      <c r="N82" s="1203"/>
    </row>
    <row r="83" spans="1:19" ht="19.899999999999999" hidden="1" customHeight="1">
      <c r="A83" s="1226">
        <f>A70</f>
        <v>26</v>
      </c>
      <c r="B83" s="1221"/>
      <c r="C83" s="110" t="e">
        <f>VLOOKUP((LEFT(B83,3)),'ships name'!A:C,2,FALSE)</f>
        <v>#N/A</v>
      </c>
      <c r="D83" s="558"/>
      <c r="E83" s="1209" t="e">
        <f>TEXT(LEFT(H83,3)-1,"000")&amp;"E"</f>
        <v>#VALUE!</v>
      </c>
      <c r="F83" s="1160" t="e">
        <f>E83</f>
        <v>#VALUE!</v>
      </c>
      <c r="G83" s="505"/>
      <c r="H83" s="1209" t="str">
        <f>RIGHT(B83,3)&amp;"W"</f>
        <v>W</v>
      </c>
      <c r="I83" s="1204" t="str">
        <f>"W"&amp;LEFT(H83,3)</f>
        <v>WW</v>
      </c>
      <c r="J83" s="1181">
        <f>J81+7</f>
        <v>42849</v>
      </c>
      <c r="K83" s="1181">
        <f>J83+1</f>
        <v>42850</v>
      </c>
      <c r="L83" s="1166">
        <f>K83+1</f>
        <v>42851</v>
      </c>
      <c r="M83" s="1195">
        <f>L83+18</f>
        <v>42869</v>
      </c>
      <c r="N83" s="1127">
        <f>L83+20</f>
        <v>42871</v>
      </c>
    </row>
    <row r="84" spans="1:19" ht="19.899999999999999" hidden="1" customHeight="1">
      <c r="A84" s="1223"/>
      <c r="B84" s="1222"/>
      <c r="C84" s="109" t="e">
        <f>VLOOKUP((LEFT(B83,3)),'ships name'!A:C,3,FALSE)</f>
        <v>#N/A</v>
      </c>
      <c r="D84" s="493"/>
      <c r="E84" s="1202"/>
      <c r="F84" s="1161"/>
      <c r="G84" s="506"/>
      <c r="H84" s="1202"/>
      <c r="I84" s="1205"/>
      <c r="J84" s="1182"/>
      <c r="K84" s="1182"/>
      <c r="L84" s="1166"/>
      <c r="M84" s="1182"/>
      <c r="N84" s="1203"/>
      <c r="O84" s="289"/>
    </row>
    <row r="85" spans="1:19" ht="19.899999999999999" hidden="1" customHeight="1">
      <c r="A85" s="1226">
        <f>A71</f>
        <v>27</v>
      </c>
      <c r="B85" s="1192"/>
      <c r="C85" s="110" t="e">
        <f>VLOOKUP((LEFT(B85,3)),'ships name'!A:C,2,FALSE)</f>
        <v>#N/A</v>
      </c>
      <c r="D85" s="558"/>
      <c r="E85" s="1209" t="e">
        <f>TEXT(LEFT(H85,3)-1,"000")&amp;"E"</f>
        <v>#VALUE!</v>
      </c>
      <c r="F85" s="1160" t="e">
        <f>E85</f>
        <v>#VALUE!</v>
      </c>
      <c r="G85" s="505"/>
      <c r="H85" s="1209" t="str">
        <f>RIGHT(B85,3)&amp;"W"</f>
        <v>W</v>
      </c>
      <c r="I85" s="1200" t="str">
        <f>"W"&amp;LEFT(H85,3)</f>
        <v>WW</v>
      </c>
      <c r="J85" s="1187">
        <f>J83+7</f>
        <v>42856</v>
      </c>
      <c r="K85" s="1187">
        <f>J85+1</f>
        <v>42857</v>
      </c>
      <c r="L85" s="1189">
        <f>K85+1</f>
        <v>42858</v>
      </c>
      <c r="M85" s="1164">
        <f>L85+18</f>
        <v>42876</v>
      </c>
      <c r="N85" s="1189">
        <f>L85+20</f>
        <v>42878</v>
      </c>
      <c r="O85" s="289"/>
    </row>
    <row r="86" spans="1:19" ht="19.899999999999999" hidden="1" customHeight="1" thickBot="1">
      <c r="A86" s="1224"/>
      <c r="B86" s="1188"/>
      <c r="C86" s="111" t="e">
        <f>VLOOKUP((LEFT(B85,3)),'ships name'!A:C,3,FALSE)</f>
        <v>#N/A</v>
      </c>
      <c r="D86" s="511"/>
      <c r="E86" s="1123"/>
      <c r="F86" s="1208"/>
      <c r="G86" s="510"/>
      <c r="H86" s="1123"/>
      <c r="I86" s="1201"/>
      <c r="J86" s="1188"/>
      <c r="K86" s="1188"/>
      <c r="L86" s="1191"/>
      <c r="M86" s="1165"/>
      <c r="N86" s="1190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10" t="s">
        <v>132</v>
      </c>
      <c r="B89" s="1111"/>
      <c r="C89" s="1111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4" t="s">
        <v>2</v>
      </c>
      <c r="L89" s="1145"/>
      <c r="M89" s="1145"/>
      <c r="N89" s="1145"/>
      <c r="O89" s="1146"/>
      <c r="P89" s="102"/>
      <c r="Q89" s="102"/>
      <c r="R89" s="102"/>
      <c r="S89" s="102"/>
    </row>
    <row r="90" spans="1:19" s="290" customFormat="1" ht="19.899999999999999" customHeight="1">
      <c r="A90" s="1113" t="s">
        <v>3</v>
      </c>
      <c r="B90" s="1149" t="s">
        <v>4</v>
      </c>
      <c r="C90" s="1149" t="s">
        <v>5</v>
      </c>
      <c r="D90" s="1092" t="s">
        <v>4291</v>
      </c>
      <c r="E90" s="1106" t="s">
        <v>6</v>
      </c>
      <c r="F90" s="1107"/>
      <c r="G90" s="1108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3"/>
      <c r="B91" s="1116"/>
      <c r="C91" s="1116"/>
      <c r="D91" s="1094"/>
      <c r="E91" s="1094" t="s">
        <v>13</v>
      </c>
      <c r="F91" s="1096" t="s">
        <v>14</v>
      </c>
      <c r="G91" s="1097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4"/>
      <c r="B92" s="1117"/>
      <c r="C92" s="1117"/>
      <c r="D92" s="1095"/>
      <c r="E92" s="1095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4661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4658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4662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4659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4663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4660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47" t="s">
        <v>137</v>
      </c>
      <c r="B99" s="1148"/>
      <c r="C99" s="1148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4" t="s">
        <v>2</v>
      </c>
      <c r="L99" s="1145"/>
      <c r="M99" s="1145"/>
      <c r="N99" s="1145"/>
      <c r="O99" s="1146"/>
      <c r="P99" s="102"/>
      <c r="Q99" s="102"/>
      <c r="R99" s="102"/>
      <c r="S99" s="102"/>
    </row>
    <row r="100" spans="1:19" s="290" customFormat="1" ht="19.899999999999999" customHeight="1">
      <c r="A100" s="1113" t="s">
        <v>3</v>
      </c>
      <c r="B100" s="1149" t="s">
        <v>4</v>
      </c>
      <c r="C100" s="1149" t="s">
        <v>5</v>
      </c>
      <c r="D100" s="1150" t="s">
        <v>4291</v>
      </c>
      <c r="E100" s="1151" t="s">
        <v>6</v>
      </c>
      <c r="F100" s="1152"/>
      <c r="G100" s="1153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3"/>
      <c r="B101" s="1116"/>
      <c r="C101" s="1116"/>
      <c r="D101" s="1094"/>
      <c r="E101" s="1094" t="s">
        <v>13</v>
      </c>
      <c r="F101" s="1096" t="s">
        <v>14</v>
      </c>
      <c r="G101" s="1097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4"/>
      <c r="B102" s="1117"/>
      <c r="C102" s="1117"/>
      <c r="D102" s="1095"/>
      <c r="E102" s="1095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4551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4552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4666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4664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4667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4668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4665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4669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47" t="s">
        <v>501</v>
      </c>
      <c r="B109" s="1148"/>
      <c r="C109" s="1148"/>
      <c r="D109" s="672"/>
      <c r="E109" s="673" t="s">
        <v>74</v>
      </c>
      <c r="F109" s="673" t="s">
        <v>3080</v>
      </c>
      <c r="G109" s="673"/>
      <c r="H109" s="1148" t="s">
        <v>3643</v>
      </c>
      <c r="I109" s="1148"/>
      <c r="J109" s="1199"/>
      <c r="K109" s="1196" t="s">
        <v>2</v>
      </c>
      <c r="L109" s="1197"/>
      <c r="M109" s="1197"/>
      <c r="N109" s="1197"/>
      <c r="O109" s="1198"/>
      <c r="P109" s="380"/>
      <c r="Q109" s="380"/>
      <c r="R109" s="380"/>
      <c r="S109" s="380"/>
    </row>
    <row r="110" spans="1:19" s="290" customFormat="1" ht="19.899999999999999" customHeight="1">
      <c r="A110" s="1113" t="s">
        <v>3</v>
      </c>
      <c r="B110" s="1149" t="s">
        <v>4</v>
      </c>
      <c r="C110" s="1149" t="s">
        <v>5</v>
      </c>
      <c r="D110" s="1150" t="s">
        <v>4291</v>
      </c>
      <c r="E110" s="1151" t="s">
        <v>6</v>
      </c>
      <c r="F110" s="1152"/>
      <c r="G110" s="1153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3"/>
      <c r="B111" s="1116"/>
      <c r="C111" s="1116"/>
      <c r="D111" s="1094"/>
      <c r="E111" s="1094" t="s">
        <v>13</v>
      </c>
      <c r="F111" s="1096" t="s">
        <v>14</v>
      </c>
      <c r="G111" s="1097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4"/>
      <c r="B112" s="1117"/>
      <c r="C112" s="1117"/>
      <c r="D112" s="1095"/>
      <c r="E112" s="1095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4579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4553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4670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4673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4671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4674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4672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4675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62" t="s">
        <v>2</v>
      </c>
      <c r="L120" s="1163"/>
      <c r="M120" s="1163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3" t="s">
        <v>3</v>
      </c>
      <c r="B121" s="1149" t="s">
        <v>4</v>
      </c>
      <c r="C121" s="1149" t="s">
        <v>5</v>
      </c>
      <c r="D121" s="1150" t="s">
        <v>4291</v>
      </c>
      <c r="E121" s="1151" t="s">
        <v>6</v>
      </c>
      <c r="F121" s="1152"/>
      <c r="G121" s="1153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3"/>
      <c r="B122" s="1116"/>
      <c r="C122" s="1116"/>
      <c r="D122" s="1094"/>
      <c r="E122" s="1094" t="s">
        <v>13</v>
      </c>
      <c r="F122" s="1096" t="s">
        <v>14</v>
      </c>
      <c r="G122" s="1097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4"/>
      <c r="B123" s="1117"/>
      <c r="C123" s="1117"/>
      <c r="D123" s="1095"/>
      <c r="E123" s="1095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4554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4555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4679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4676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4680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4677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4681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4678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4682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47" t="s">
        <v>4301</v>
      </c>
      <c r="B129" s="1148"/>
      <c r="C129" s="1148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4" t="s">
        <v>2</v>
      </c>
      <c r="L129" s="1145"/>
      <c r="M129" s="1145"/>
      <c r="N129" s="1146"/>
      <c r="O129" s="568"/>
      <c r="P129" s="568"/>
      <c r="Q129" s="568"/>
      <c r="R129" s="568"/>
      <c r="S129" s="568"/>
    </row>
    <row r="130" spans="1:19" s="290" customFormat="1" ht="19.899999999999999" customHeight="1">
      <c r="A130" s="1113" t="s">
        <v>3</v>
      </c>
      <c r="B130" s="1149" t="s">
        <v>4</v>
      </c>
      <c r="C130" s="1149" t="s">
        <v>5</v>
      </c>
      <c r="D130" s="1150" t="s">
        <v>4291</v>
      </c>
      <c r="E130" s="1151" t="s">
        <v>6</v>
      </c>
      <c r="F130" s="1152"/>
      <c r="G130" s="1153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13"/>
      <c r="B131" s="1116"/>
      <c r="C131" s="1116"/>
      <c r="D131" s="1094"/>
      <c r="E131" s="1094" t="s">
        <v>13</v>
      </c>
      <c r="F131" s="1096" t="s">
        <v>14</v>
      </c>
      <c r="G131" s="1097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4"/>
      <c r="B132" s="1117"/>
      <c r="C132" s="1117"/>
      <c r="D132" s="1095"/>
      <c r="E132" s="1095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4683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4688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4684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4689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4685</v>
      </c>
      <c r="C135" s="563" t="str">
        <f>VLOOKUP((LEFT(B135,3)),'ships name'!A:C,2,FALSE)</f>
        <v>COSCO INDONESIA</v>
      </c>
      <c r="D135" s="809" t="str">
        <f>VLOOKUP(C135,'ships name'!B:C,2,FALSE)</f>
        <v>中远印度尼西亚</v>
      </c>
      <c r="E135" s="577" t="str">
        <f>F135</f>
        <v>086W</v>
      </c>
      <c r="F135" s="610" t="str">
        <f>RIGHT(B135,3)&amp;"W"</f>
        <v>086W</v>
      </c>
      <c r="G135" s="563" t="s">
        <v>4690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4686</v>
      </c>
      <c r="C136" s="563" t="str">
        <f>VLOOKUP((LEFT(B136,3)),'ships name'!A:C,2,FALSE)</f>
        <v>SM SAVANNAH</v>
      </c>
      <c r="D136" s="809" t="str">
        <f>VLOOKUP(C136,'ships name'!B:C,2,FALSE)</f>
        <v xml:space="preserve"> </v>
      </c>
      <c r="E136" s="577" t="s">
        <v>4372</v>
      </c>
      <c r="F136" s="577" t="str">
        <f t="shared" ref="F136:F137" si="107">RIGHT(B136,3)&amp;"W"</f>
        <v>005W</v>
      </c>
      <c r="G136" s="563" t="s">
        <v>4691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4687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4692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47" t="s">
        <v>4333</v>
      </c>
      <c r="B138" s="1148"/>
      <c r="C138" s="1148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4" t="s">
        <v>2</v>
      </c>
      <c r="L138" s="1145"/>
      <c r="M138" s="1145"/>
      <c r="N138" s="1145"/>
      <c r="O138" s="1145"/>
      <c r="P138" s="1146"/>
      <c r="Q138" s="568"/>
      <c r="R138" s="568"/>
      <c r="S138" s="568"/>
    </row>
    <row r="139" spans="1:19" s="290" customFormat="1" ht="19.899999999999999" customHeight="1">
      <c r="A139" s="1113" t="s">
        <v>3</v>
      </c>
      <c r="B139" s="1149" t="s">
        <v>4</v>
      </c>
      <c r="C139" s="1149" t="s">
        <v>5</v>
      </c>
      <c r="D139" s="1150" t="s">
        <v>4291</v>
      </c>
      <c r="E139" s="1151" t="s">
        <v>6</v>
      </c>
      <c r="F139" s="1152"/>
      <c r="G139" s="1153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13"/>
      <c r="B140" s="1116"/>
      <c r="C140" s="1116"/>
      <c r="D140" s="1094"/>
      <c r="E140" s="1094" t="s">
        <v>13</v>
      </c>
      <c r="F140" s="1096" t="s">
        <v>14</v>
      </c>
      <c r="G140" s="1097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4"/>
      <c r="B141" s="1117"/>
      <c r="C141" s="1117"/>
      <c r="D141" s="1095"/>
      <c r="E141" s="1095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4693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4698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4694</v>
      </c>
      <c r="C143" s="563" t="str">
        <f>VLOOKUP((LEFT(B143,3)),'ships name'!A:C,2,FALSE)</f>
        <v>EVER UNISON</v>
      </c>
      <c r="D143" s="809" t="str">
        <f>VLOOKUP(C143,'ships name'!B:C,2,FALSE)</f>
        <v xml:space="preserve"> </v>
      </c>
      <c r="E143" s="577" t="str">
        <f>TEXT(LEFT(F143,3)-1,"000")&amp;"E"</f>
        <v>179E</v>
      </c>
      <c r="F143" s="577" t="str">
        <f t="shared" si="108"/>
        <v>180W</v>
      </c>
      <c r="G143" s="563" t="s">
        <v>4699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4695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4700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4696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4701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4697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4702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47" t="s">
        <v>150</v>
      </c>
      <c r="B148" s="1148"/>
      <c r="C148" s="1148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4" t="s">
        <v>2</v>
      </c>
      <c r="L148" s="1145"/>
      <c r="M148" s="1146"/>
      <c r="N148" s="102"/>
      <c r="O148" s="102"/>
      <c r="P148" s="102"/>
    </row>
    <row r="149" spans="1:19" s="290" customFormat="1" ht="19.899999999999999" customHeight="1">
      <c r="A149" s="1158" t="s">
        <v>3</v>
      </c>
      <c r="B149" s="1159" t="s">
        <v>4</v>
      </c>
      <c r="C149" s="1159" t="s">
        <v>5</v>
      </c>
      <c r="D149" s="1092" t="s">
        <v>4291</v>
      </c>
      <c r="E149" s="1106" t="s">
        <v>6</v>
      </c>
      <c r="F149" s="1107"/>
      <c r="G149" s="1108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6"/>
      <c r="B150" s="1154"/>
      <c r="C150" s="1154"/>
      <c r="D150" s="1094"/>
      <c r="E150" s="1094" t="s">
        <v>13</v>
      </c>
      <c r="F150" s="1096" t="s">
        <v>14</v>
      </c>
      <c r="G150" s="1097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57"/>
      <c r="B151" s="1155"/>
      <c r="C151" s="1155"/>
      <c r="D151" s="1095"/>
      <c r="E151" s="1095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4557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4558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4556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4559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4703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4560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4704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4561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4705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4562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10" t="s">
        <v>3727</v>
      </c>
      <c r="B158" s="1111"/>
      <c r="C158" s="1111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098" t="s">
        <v>2</v>
      </c>
      <c r="L158" s="1099"/>
      <c r="M158" s="1100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58" t="s">
        <v>3</v>
      </c>
      <c r="B159" s="1159" t="s">
        <v>4</v>
      </c>
      <c r="C159" s="1159" t="s">
        <v>5</v>
      </c>
      <c r="D159" s="1092" t="s">
        <v>4291</v>
      </c>
      <c r="E159" s="1106" t="s">
        <v>6</v>
      </c>
      <c r="F159" s="1107"/>
      <c r="G159" s="1108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6"/>
      <c r="B160" s="1154"/>
      <c r="C160" s="1154"/>
      <c r="D160" s="1094"/>
      <c r="E160" s="1094" t="s">
        <v>13</v>
      </c>
      <c r="F160" s="1096" t="s">
        <v>14</v>
      </c>
      <c r="G160" s="1097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57"/>
      <c r="B161" s="1155"/>
      <c r="C161" s="1155"/>
      <c r="D161" s="1095"/>
      <c r="E161" s="1095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4706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4711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4707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4712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4708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4713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4709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4714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4710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4715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10" t="s">
        <v>3484</v>
      </c>
      <c r="B168" s="1111"/>
      <c r="C168" s="1111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4" t="s">
        <v>2</v>
      </c>
      <c r="L168" s="1145"/>
      <c r="M168" s="1145"/>
      <c r="N168" s="1145"/>
      <c r="O168" s="1146"/>
      <c r="P168" s="362"/>
      <c r="Q168" s="362"/>
      <c r="R168" s="362"/>
      <c r="S168" s="362"/>
    </row>
    <row r="169" spans="1:19" s="290" customFormat="1" ht="19.899999999999999" customHeight="1">
      <c r="A169" s="1156" t="s">
        <v>3</v>
      </c>
      <c r="B169" s="1154" t="s">
        <v>4</v>
      </c>
      <c r="C169" s="1154" t="s">
        <v>5</v>
      </c>
      <c r="D169" s="1092" t="s">
        <v>4291</v>
      </c>
      <c r="E169" s="1106" t="s">
        <v>6</v>
      </c>
      <c r="F169" s="1107"/>
      <c r="G169" s="1108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6"/>
      <c r="B170" s="1154"/>
      <c r="C170" s="1154"/>
      <c r="D170" s="1094"/>
      <c r="E170" s="1094" t="s">
        <v>13</v>
      </c>
      <c r="F170" s="1096" t="s">
        <v>14</v>
      </c>
      <c r="G170" s="1097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57"/>
      <c r="B171" s="1155"/>
      <c r="C171" s="1155"/>
      <c r="D171" s="1095"/>
      <c r="E171" s="1095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4563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4564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4716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4719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4717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4720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27</v>
      </c>
      <c r="C175" s="490" t="str">
        <f>VLOOKUP(LEFT(B175,3),'ships name'!A:C,2,FALSE)</f>
        <v>TO BE ADVISED</v>
      </c>
      <c r="D175" s="809" t="str">
        <f>VLOOKUP(C175,'ships name'!B:C,2,FALSE)</f>
        <v>TO BE ADVISED</v>
      </c>
      <c r="E175" s="658" t="e">
        <f>TEXT((LEFT(F175,3)-1),"000")&amp;"E"</f>
        <v>#VALUE!</v>
      </c>
      <c r="F175" s="658" t="str">
        <f>RIGHT(B175,3)&amp; "W"</f>
        <v>TBAW</v>
      </c>
      <c r="G175" s="488" t="s">
        <v>4721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4718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4722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47" t="s">
        <v>4068</v>
      </c>
      <c r="B177" s="1148"/>
      <c r="C177" s="1148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5" t="s">
        <v>2</v>
      </c>
      <c r="L177" s="1256"/>
      <c r="M177" s="1256"/>
      <c r="N177" s="1256"/>
      <c r="O177" s="1257"/>
      <c r="P177" s="452"/>
      <c r="Q177" s="452"/>
      <c r="R177" s="452"/>
      <c r="S177" s="452"/>
    </row>
    <row r="178" spans="1:19" s="290" customFormat="1" ht="19.899999999999999" customHeight="1">
      <c r="A178" s="1258" t="s">
        <v>3</v>
      </c>
      <c r="B178" s="1149" t="s">
        <v>4</v>
      </c>
      <c r="C178" s="1149" t="s">
        <v>5</v>
      </c>
      <c r="D178" s="1150" t="s">
        <v>4291</v>
      </c>
      <c r="E178" s="1150" t="s">
        <v>6</v>
      </c>
      <c r="F178" s="1150"/>
      <c r="G178" s="1150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4492</v>
      </c>
      <c r="N178" s="514"/>
      <c r="O178" s="355"/>
    </row>
    <row r="179" spans="1:19" s="290" customFormat="1" ht="19.899999999999999" customHeight="1">
      <c r="A179" s="1259"/>
      <c r="B179" s="1116"/>
      <c r="C179" s="1116"/>
      <c r="D179" s="1094"/>
      <c r="E179" s="1094" t="s">
        <v>13</v>
      </c>
      <c r="F179" s="1094" t="s">
        <v>14</v>
      </c>
      <c r="G179" s="1094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4493</v>
      </c>
      <c r="N179" s="411"/>
      <c r="O179" s="412"/>
    </row>
    <row r="180" spans="1:19" s="290" customFormat="1" ht="19.899999999999999" customHeight="1" thickBot="1">
      <c r="A180" s="1260"/>
      <c r="B180" s="1117"/>
      <c r="C180" s="1117"/>
      <c r="D180" s="1095"/>
      <c r="E180" s="1095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4568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4565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4723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4727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4724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4728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4725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4729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4726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4730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47" t="s">
        <v>4471</v>
      </c>
      <c r="B186" s="1148"/>
      <c r="C186" s="1148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5" t="s">
        <v>2</v>
      </c>
      <c r="L186" s="1256"/>
      <c r="M186" s="1256"/>
      <c r="N186" s="1256"/>
      <c r="O186" s="1257"/>
      <c r="P186" s="989"/>
      <c r="Q186" s="989"/>
      <c r="R186" s="989"/>
      <c r="S186" s="989"/>
    </row>
    <row r="187" spans="1:19" s="290" customFormat="1" ht="19.899999999999999" customHeight="1">
      <c r="A187" s="1258" t="s">
        <v>3</v>
      </c>
      <c r="B187" s="1149" t="s">
        <v>4</v>
      </c>
      <c r="C187" s="1149" t="s">
        <v>5</v>
      </c>
      <c r="D187" s="1150" t="s">
        <v>4291</v>
      </c>
      <c r="E187" s="1150" t="s">
        <v>6</v>
      </c>
      <c r="F187" s="1150"/>
      <c r="G187" s="1150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259"/>
      <c r="B188" s="1116"/>
      <c r="C188" s="1116"/>
      <c r="D188" s="1094"/>
      <c r="E188" s="1094" t="s">
        <v>13</v>
      </c>
      <c r="F188" s="1094" t="s">
        <v>14</v>
      </c>
      <c r="G188" s="1094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260"/>
      <c r="B189" s="1117"/>
      <c r="C189" s="1117"/>
      <c r="D189" s="1095"/>
      <c r="E189" s="1095"/>
      <c r="F189" s="605" t="s">
        <v>4292</v>
      </c>
      <c r="G189" s="983" t="s">
        <v>4293</v>
      </c>
      <c r="H189" s="665" t="s">
        <v>4472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4566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4569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4567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4732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4731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4733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4568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4734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4723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4735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4454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5" t="s">
        <v>2</v>
      </c>
      <c r="L195" s="1256"/>
      <c r="M195" s="1256"/>
      <c r="N195" s="1256"/>
      <c r="O195" s="1257"/>
      <c r="P195" s="979"/>
      <c r="Q195" s="979"/>
      <c r="R195" s="979"/>
      <c r="S195" s="979"/>
    </row>
    <row r="196" spans="1:19" s="290" customFormat="1" ht="19.899999999999999" hidden="1" customHeight="1">
      <c r="A196" s="1258" t="s">
        <v>3</v>
      </c>
      <c r="B196" s="1149" t="s">
        <v>4</v>
      </c>
      <c r="C196" s="1149" t="s">
        <v>5</v>
      </c>
      <c r="D196" s="1150" t="s">
        <v>4291</v>
      </c>
      <c r="E196" s="1150" t="s">
        <v>6</v>
      </c>
      <c r="F196" s="1150"/>
      <c r="G196" s="1150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4462</v>
      </c>
      <c r="M196" s="975"/>
      <c r="N196" s="977"/>
      <c r="O196" s="355"/>
    </row>
    <row r="197" spans="1:19" s="290" customFormat="1" ht="19.899999999999999" hidden="1" customHeight="1">
      <c r="A197" s="1259"/>
      <c r="B197" s="1116"/>
      <c r="C197" s="1116"/>
      <c r="D197" s="1094"/>
      <c r="E197" s="1094" t="s">
        <v>13</v>
      </c>
      <c r="F197" s="1094" t="s">
        <v>14</v>
      </c>
      <c r="G197" s="1094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4463</v>
      </c>
      <c r="M197" s="971"/>
      <c r="N197" s="971"/>
      <c r="O197" s="412"/>
    </row>
    <row r="198" spans="1:19" s="290" customFormat="1" ht="19.899999999999999" hidden="1" customHeight="1" thickBot="1">
      <c r="A198" s="1260"/>
      <c r="B198" s="1117"/>
      <c r="C198" s="1117"/>
      <c r="D198" s="1095"/>
      <c r="E198" s="1095"/>
      <c r="F198" s="605" t="s">
        <v>4292</v>
      </c>
      <c r="G198" s="973" t="s">
        <v>4293</v>
      </c>
      <c r="H198" s="665" t="s">
        <v>4455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4496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4459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4460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4456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4461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4497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4494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4495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R21" sqref="R21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5" t="s">
        <v>0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  <c r="L2" s="1275"/>
      <c r="M2" s="1275"/>
      <c r="N2" s="1275"/>
      <c r="O2" s="1275"/>
      <c r="P2" s="1275"/>
    </row>
    <row r="3" spans="1:20" ht="28.15" customHeight="1">
      <c r="A3" s="111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</row>
    <row r="4" spans="1:20" ht="28.15" customHeight="1">
      <c r="A4" s="1276" t="str">
        <f>IA!A4</f>
        <v>2019年06月船期表</v>
      </c>
      <c r="B4" s="1276"/>
      <c r="C4" s="1276"/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6"/>
      <c r="O4" s="1276"/>
      <c r="P4" s="1276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3" t="s">
        <v>3923</v>
      </c>
      <c r="B8" s="1274"/>
      <c r="C8" s="1274"/>
      <c r="D8" s="528"/>
      <c r="E8" s="1265" t="s">
        <v>262</v>
      </c>
      <c r="F8" s="1265"/>
      <c r="G8" s="529"/>
      <c r="H8" s="226" t="s">
        <v>490</v>
      </c>
      <c r="I8" s="226" t="s">
        <v>75</v>
      </c>
      <c r="J8" s="226" t="s">
        <v>493</v>
      </c>
      <c r="K8" s="1262" t="s">
        <v>2</v>
      </c>
      <c r="L8" s="1263"/>
      <c r="M8" s="1263"/>
      <c r="N8" s="1263"/>
      <c r="O8" s="1264"/>
      <c r="T8" s="276"/>
    </row>
    <row r="9" spans="1:20" s="103" customFormat="1" ht="19.899999999999999" customHeight="1">
      <c r="A9" s="1271" t="s">
        <v>3</v>
      </c>
      <c r="B9" s="1268" t="s">
        <v>4</v>
      </c>
      <c r="C9" s="1268" t="s">
        <v>5</v>
      </c>
      <c r="D9" s="1150" t="s">
        <v>4291</v>
      </c>
      <c r="E9" s="1151" t="s">
        <v>6</v>
      </c>
      <c r="F9" s="1152"/>
      <c r="G9" s="1153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1"/>
      <c r="B10" s="1268"/>
      <c r="C10" s="1268"/>
      <c r="D10" s="1094"/>
      <c r="E10" s="1094" t="s">
        <v>13</v>
      </c>
      <c r="F10" s="1096" t="s">
        <v>14</v>
      </c>
      <c r="G10" s="1097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2"/>
      <c r="B11" s="1269"/>
      <c r="C11" s="1269"/>
      <c r="D11" s="1240"/>
      <c r="E11" s="1095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4736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4741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4737</v>
      </c>
      <c r="C13" s="538" t="str">
        <f>VLOOKUP(LEFT(B13,3),'ships name'!A:C,2,FALSE)</f>
        <v>CMA CGM COCHIN</v>
      </c>
      <c r="D13" s="809" t="str">
        <f>VLOOKUP(C13,'ships name'!B:C,2,FALSE)</f>
        <v xml:space="preserve"> </v>
      </c>
      <c r="E13" s="710" t="str">
        <f t="shared" ref="E13:E16" si="0">F13</f>
        <v>0JX2RE</v>
      </c>
      <c r="F13" s="710" t="str">
        <f t="shared" ref="F13:F16" si="1">LEFT(G13,6)</f>
        <v>0JX2RE</v>
      </c>
      <c r="G13" s="716" t="s">
        <v>4742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4738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4743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4739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4744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4740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4745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73" t="s">
        <v>3922</v>
      </c>
      <c r="B18" s="1274"/>
      <c r="C18" s="1274"/>
      <c r="D18" s="528"/>
      <c r="E18" s="1265" t="s">
        <v>262</v>
      </c>
      <c r="F18" s="1265"/>
      <c r="G18" s="529"/>
      <c r="H18" s="226" t="s">
        <v>3080</v>
      </c>
      <c r="I18" s="226" t="s">
        <v>75</v>
      </c>
      <c r="J18" s="226" t="s">
        <v>493</v>
      </c>
      <c r="K18" s="1262" t="s">
        <v>2</v>
      </c>
      <c r="L18" s="1263"/>
      <c r="M18" s="1263"/>
      <c r="N18" s="1263"/>
      <c r="O18" s="1264"/>
      <c r="T18" s="276"/>
    </row>
    <row r="19" spans="1:20" s="103" customFormat="1" ht="19.899999999999999" customHeight="1">
      <c r="A19" s="1271" t="s">
        <v>3</v>
      </c>
      <c r="B19" s="1268" t="s">
        <v>4</v>
      </c>
      <c r="C19" s="1268" t="s">
        <v>5</v>
      </c>
      <c r="D19" s="1150" t="s">
        <v>4291</v>
      </c>
      <c r="E19" s="1151" t="s">
        <v>6</v>
      </c>
      <c r="F19" s="1152"/>
      <c r="G19" s="1153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1"/>
      <c r="B20" s="1268"/>
      <c r="C20" s="1268"/>
      <c r="D20" s="1094"/>
      <c r="E20" s="1094" t="s">
        <v>13</v>
      </c>
      <c r="F20" s="1096" t="s">
        <v>14</v>
      </c>
      <c r="G20" s="1097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2"/>
      <c r="B21" s="1269"/>
      <c r="C21" s="1269"/>
      <c r="D21" s="1095"/>
      <c r="E21" s="1095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4537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4538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4746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4750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4747</v>
      </c>
      <c r="C24" s="538" t="str">
        <f>VLOOKUP(LEFT(B24,3),'ships name'!A:C,2,FALSE)</f>
        <v>NORTHERN JUPITER</v>
      </c>
      <c r="D24" s="809" t="str">
        <f>VLOOKUP(C24,'ships name'!B:C,2,FALSE)</f>
        <v xml:space="preserve">诺斯朱庇特 </v>
      </c>
      <c r="E24" s="716" t="str">
        <f t="shared" ref="E24" si="23">LEFT(F24,3)-1&amp;"W"</f>
        <v>15W</v>
      </c>
      <c r="F24" s="731" t="str">
        <f t="shared" ref="F24" si="24">RIGHT(B24,3)&amp;"E"</f>
        <v>016E</v>
      </c>
      <c r="G24" s="731" t="s">
        <v>4751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4748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4752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4749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4753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3" t="s">
        <v>3925</v>
      </c>
      <c r="B28" s="1274"/>
      <c r="C28" s="1274"/>
      <c r="D28" s="528"/>
      <c r="E28" s="1265" t="s">
        <v>262</v>
      </c>
      <c r="F28" s="1265"/>
      <c r="G28" s="529"/>
      <c r="H28" s="226" t="s">
        <v>29</v>
      </c>
      <c r="I28" s="226" t="s">
        <v>75</v>
      </c>
      <c r="J28" s="226" t="s">
        <v>29</v>
      </c>
      <c r="K28" s="1262" t="s">
        <v>2</v>
      </c>
      <c r="L28" s="1263"/>
      <c r="M28" s="1263"/>
      <c r="N28" s="1263"/>
      <c r="O28" s="1263"/>
      <c r="P28" s="1264"/>
      <c r="T28" s="276"/>
    </row>
    <row r="29" spans="1:20" s="103" customFormat="1" ht="19.899999999999999" hidden="1" customHeight="1">
      <c r="A29" s="1271" t="s">
        <v>3</v>
      </c>
      <c r="B29" s="1268" t="s">
        <v>4</v>
      </c>
      <c r="C29" s="1268" t="s">
        <v>5</v>
      </c>
      <c r="D29" s="1150" t="s">
        <v>4291</v>
      </c>
      <c r="E29" s="1151" t="s">
        <v>6</v>
      </c>
      <c r="F29" s="1152"/>
      <c r="G29" s="1153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1"/>
      <c r="B30" s="1268"/>
      <c r="C30" s="1268"/>
      <c r="D30" s="1094"/>
      <c r="E30" s="1094" t="s">
        <v>13</v>
      </c>
      <c r="F30" s="1096" t="s">
        <v>14</v>
      </c>
      <c r="G30" s="1097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2"/>
      <c r="B31" s="1269"/>
      <c r="C31" s="1269"/>
      <c r="D31" s="1095"/>
      <c r="E31" s="1095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6" t="s">
        <v>2</v>
      </c>
      <c r="L39" s="1241"/>
      <c r="M39" s="1241"/>
      <c r="N39" s="1241"/>
      <c r="O39" s="1242"/>
    </row>
    <row r="40" spans="1:16" ht="19.899999999999999" customHeight="1">
      <c r="A40" s="1270" t="s">
        <v>3</v>
      </c>
      <c r="B40" s="1267" t="s">
        <v>4</v>
      </c>
      <c r="C40" s="1267" t="s">
        <v>5</v>
      </c>
      <c r="D40" s="1150" t="s">
        <v>4291</v>
      </c>
      <c r="E40" s="1151" t="s">
        <v>6</v>
      </c>
      <c r="F40" s="1152"/>
      <c r="G40" s="1153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1"/>
      <c r="B41" s="1268"/>
      <c r="C41" s="1268"/>
      <c r="D41" s="1094"/>
      <c r="E41" s="1094" t="s">
        <v>13</v>
      </c>
      <c r="F41" s="1096" t="s">
        <v>14</v>
      </c>
      <c r="G41" s="1097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2"/>
      <c r="B42" s="1269"/>
      <c r="C42" s="1269"/>
      <c r="D42" s="1095"/>
      <c r="E42" s="1095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4754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4759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4755</v>
      </c>
      <c r="C44" s="538" t="str">
        <f>VLOOKUP(LEFT(B44,3),'ships name'!A:C,2,FALSE)</f>
        <v>CMA CGM LISA MARIE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4760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4756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4761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4757</v>
      </c>
      <c r="C46" s="538" t="str">
        <f>VLOOKUP(LEFT(B46,3),'ships name'!A:C,2,FALSE)</f>
        <v>SANTA LORETTA</v>
      </c>
      <c r="D46" s="809" t="str">
        <f>VLOOKUP(C46,'ships name'!B:C,2,FALSE)</f>
        <v xml:space="preserve"> </v>
      </c>
      <c r="E46" s="733"/>
      <c r="F46" s="716" t="str">
        <f>RIGHT(B46,3)&amp;"E"</f>
        <v>049E</v>
      </c>
      <c r="G46" s="716" t="s">
        <v>4762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4758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4763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abSelected="1" zoomScale="85" zoomScaleNormal="85" workbookViewId="0">
      <selection activeCell="A3" sqref="A3:N3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5" t="s">
        <v>0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  <c r="L2" s="1275"/>
      <c r="M2" s="1275"/>
      <c r="N2" s="1275"/>
    </row>
    <row r="3" spans="1:15" ht="28.15" customHeight="1">
      <c r="A3" s="111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</row>
    <row r="4" spans="1:15" ht="28.15" customHeight="1">
      <c r="A4" s="1275" t="str">
        <f>IA!A4</f>
        <v>2019年06月船期表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00" t="s">
        <v>208</v>
      </c>
      <c r="B7" s="1325"/>
      <c r="C7" s="1325"/>
      <c r="D7" s="532"/>
      <c r="E7" s="534" t="s">
        <v>74</v>
      </c>
      <c r="F7" s="251"/>
      <c r="G7" s="251"/>
      <c r="H7" s="251" t="s">
        <v>75</v>
      </c>
      <c r="I7" s="251"/>
      <c r="J7" s="251"/>
      <c r="K7" s="1173" t="s">
        <v>2</v>
      </c>
      <c r="L7" s="1167"/>
      <c r="M7" s="1167"/>
      <c r="N7" s="1167"/>
      <c r="O7" s="1168"/>
    </row>
    <row r="8" spans="1:15" ht="19.899999999999999" hidden="1" customHeight="1">
      <c r="A8" s="1270" t="s">
        <v>3</v>
      </c>
      <c r="B8" s="1267" t="s">
        <v>4</v>
      </c>
      <c r="C8" s="1267" t="s">
        <v>5</v>
      </c>
      <c r="D8" s="728"/>
      <c r="E8" s="1414" t="s">
        <v>6</v>
      </c>
      <c r="F8" s="1415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1"/>
      <c r="B9" s="1268"/>
      <c r="C9" s="1268"/>
      <c r="D9" s="530"/>
      <c r="E9" s="1385" t="s">
        <v>13</v>
      </c>
      <c r="F9" s="1408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2"/>
      <c r="B10" s="1269"/>
      <c r="C10" s="1269"/>
      <c r="D10" s="527"/>
      <c r="E10" s="1216"/>
      <c r="F10" s="1409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18">
        <v>19</v>
      </c>
      <c r="B11" s="1388"/>
      <c r="C11" s="110" t="e">
        <f>VLOOKUP((LEFT(B11,3)),'ships name'!A:C,2,FALSE)</f>
        <v>#N/A</v>
      </c>
      <c r="D11" s="558"/>
      <c r="E11" s="1209" t="str">
        <f>RIGHT(B11,3)&amp;"W"</f>
        <v>W</v>
      </c>
      <c r="F11" s="1209" t="s">
        <v>3927</v>
      </c>
      <c r="G11" s="500"/>
      <c r="H11" s="1376">
        <f>I11-1</f>
        <v>43225</v>
      </c>
      <c r="I11" s="1358">
        <f>J11-1</f>
        <v>43226</v>
      </c>
      <c r="J11" s="1421">
        <v>43227</v>
      </c>
      <c r="K11" s="1367">
        <f>J11+21</f>
        <v>43248</v>
      </c>
      <c r="L11" s="1350">
        <f>J11+28</f>
        <v>43255</v>
      </c>
      <c r="M11" s="1350">
        <f>J11+31</f>
        <v>43258</v>
      </c>
      <c r="N11" s="1295">
        <f>J11+33</f>
        <v>43260</v>
      </c>
      <c r="O11" s="1290">
        <f t="shared" ref="O11" si="0">J11+26</f>
        <v>43253</v>
      </c>
    </row>
    <row r="12" spans="1:15" ht="19.899999999999999" hidden="1" customHeight="1">
      <c r="A12" s="1304"/>
      <c r="B12" s="1389"/>
      <c r="C12" s="109" t="e">
        <f>VLOOKUP((LEFT(B11,3)),'ships name'!A:C,3,FALSE)</f>
        <v>#N/A</v>
      </c>
      <c r="D12" s="493"/>
      <c r="E12" s="1202"/>
      <c r="F12" s="1202"/>
      <c r="G12" s="501"/>
      <c r="H12" s="1377"/>
      <c r="I12" s="1359"/>
      <c r="J12" s="1290"/>
      <c r="K12" s="1368"/>
      <c r="L12" s="1351"/>
      <c r="M12" s="1351"/>
      <c r="N12" s="1279"/>
      <c r="O12" s="1291"/>
    </row>
    <row r="13" spans="1:15" ht="19.899999999999999" hidden="1" customHeight="1">
      <c r="A13" s="1419">
        <f>A11+1</f>
        <v>20</v>
      </c>
      <c r="B13" s="1390"/>
      <c r="C13" s="110" t="e">
        <f>VLOOKUP((LEFT(B13,3)),'ships name'!A:C,2,FALSE)</f>
        <v>#N/A</v>
      </c>
      <c r="D13" s="558"/>
      <c r="E13" s="1209" t="str">
        <f>RIGHT(B13,3)&amp;"W"</f>
        <v>W</v>
      </c>
      <c r="F13" s="1209" t="str">
        <f>RIGHT(B13,3)&amp;"E"</f>
        <v>E</v>
      </c>
      <c r="G13" s="500"/>
      <c r="H13" s="1305">
        <f t="shared" ref="H13:N13" si="1">H11+7</f>
        <v>43232</v>
      </c>
      <c r="I13" s="1358">
        <f t="shared" ref="I13:I15" si="2">J13-1</f>
        <v>43233</v>
      </c>
      <c r="J13" s="1326">
        <f>J11+7</f>
        <v>43234</v>
      </c>
      <c r="K13" s="1369">
        <f t="shared" si="1"/>
        <v>43255</v>
      </c>
      <c r="L13" s="1209">
        <f t="shared" si="1"/>
        <v>43262</v>
      </c>
      <c r="M13" s="1352">
        <f t="shared" si="1"/>
        <v>43265</v>
      </c>
      <c r="N13" s="1122">
        <f t="shared" si="1"/>
        <v>43267</v>
      </c>
      <c r="O13" s="1292">
        <f t="shared" ref="O13" si="3">J13+26</f>
        <v>43260</v>
      </c>
    </row>
    <row r="14" spans="1:15" ht="19.899999999999999" hidden="1" customHeight="1" thickBot="1">
      <c r="A14" s="1331"/>
      <c r="B14" s="1391"/>
      <c r="C14" s="109" t="e">
        <f>VLOOKUP((LEFT(B13,3)),'ships name'!A:C,3,FALSE)</f>
        <v>#N/A</v>
      </c>
      <c r="D14" s="493"/>
      <c r="E14" s="1202"/>
      <c r="F14" s="1202"/>
      <c r="G14" s="501"/>
      <c r="H14" s="1305"/>
      <c r="I14" s="1359"/>
      <c r="J14" s="1422"/>
      <c r="K14" s="1370"/>
      <c r="L14" s="1230"/>
      <c r="M14" s="1353"/>
      <c r="N14" s="1230"/>
      <c r="O14" s="1293"/>
    </row>
    <row r="15" spans="1:15" ht="19.899999999999999" hidden="1" customHeight="1">
      <c r="A15" s="1419">
        <f>A13+1</f>
        <v>21</v>
      </c>
      <c r="B15" s="1390"/>
      <c r="C15" s="110" t="e">
        <f>VLOOKUP((LEFT(B15,3)),'ships name'!A:C,2,FALSE)</f>
        <v>#N/A</v>
      </c>
      <c r="D15" s="558"/>
      <c r="E15" s="1209" t="str">
        <f>RIGHT(B15,3)&amp;"W"</f>
        <v>W</v>
      </c>
      <c r="F15" s="1209" t="s">
        <v>3928</v>
      </c>
      <c r="G15" s="500"/>
      <c r="H15" s="1305">
        <f t="shared" ref="H15:N15" si="4">H13+7</f>
        <v>43239</v>
      </c>
      <c r="I15" s="1358">
        <f t="shared" si="2"/>
        <v>43240</v>
      </c>
      <c r="J15" s="1326">
        <f t="shared" ref="J15:J17" si="5">J13+7</f>
        <v>43241</v>
      </c>
      <c r="K15" s="1369">
        <f t="shared" si="4"/>
        <v>43262</v>
      </c>
      <c r="L15" s="1209">
        <f t="shared" si="4"/>
        <v>43269</v>
      </c>
      <c r="M15" s="1352">
        <f t="shared" si="4"/>
        <v>43272</v>
      </c>
      <c r="N15" s="1209">
        <f t="shared" si="4"/>
        <v>43274</v>
      </c>
      <c r="O15" s="1292">
        <f t="shared" ref="O15" si="6">J15+26</f>
        <v>43267</v>
      </c>
    </row>
    <row r="16" spans="1:15" ht="19.899999999999999" hidden="1" customHeight="1">
      <c r="A16" s="1331"/>
      <c r="B16" s="1389"/>
      <c r="C16" s="109" t="e">
        <f>VLOOKUP((LEFT(B15,3)),'ships name'!A:C,3,FALSE)</f>
        <v>#N/A</v>
      </c>
      <c r="D16" s="493"/>
      <c r="E16" s="1202"/>
      <c r="F16" s="1202"/>
      <c r="G16" s="501"/>
      <c r="H16" s="1305"/>
      <c r="I16" s="1359"/>
      <c r="J16" s="1422"/>
      <c r="K16" s="1370"/>
      <c r="L16" s="1230"/>
      <c r="M16" s="1353"/>
      <c r="N16" s="1230"/>
      <c r="O16" s="1293"/>
    </row>
    <row r="17" spans="1:22" ht="19.899999999999999" hidden="1" customHeight="1">
      <c r="A17" s="1419">
        <f>A15+1</f>
        <v>22</v>
      </c>
      <c r="B17" s="1390"/>
      <c r="C17" s="110" t="e">
        <f>VLOOKUP((LEFT(B17,3)),'ships name'!A:C,2,FALSE)</f>
        <v>#N/A</v>
      </c>
      <c r="D17" s="558"/>
      <c r="E17" s="1209" t="str">
        <f>RIGHT(B17,3)&amp;"W"</f>
        <v>W</v>
      </c>
      <c r="F17" s="1209" t="str">
        <f>RIGHT(B17,3)&amp;"E"</f>
        <v>E</v>
      </c>
      <c r="G17" s="500"/>
      <c r="H17" s="1305">
        <f>I17-2</f>
        <v>43246</v>
      </c>
      <c r="I17" s="1360">
        <f>J17</f>
        <v>43248</v>
      </c>
      <c r="J17" s="1326">
        <f t="shared" si="5"/>
        <v>43248</v>
      </c>
      <c r="K17" s="1371"/>
      <c r="L17" s="1209">
        <f t="shared" ref="L17:N17" si="7">L15+7</f>
        <v>43276</v>
      </c>
      <c r="M17" s="1352">
        <f t="shared" si="7"/>
        <v>43279</v>
      </c>
      <c r="N17" s="1209">
        <f t="shared" si="7"/>
        <v>43281</v>
      </c>
      <c r="O17" s="1292">
        <f>J17+26</f>
        <v>43274</v>
      </c>
    </row>
    <row r="18" spans="1:22" ht="19.899999999999999" hidden="1" customHeight="1">
      <c r="A18" s="1331"/>
      <c r="B18" s="1389"/>
      <c r="C18" s="109" t="e">
        <f>VLOOKUP((LEFT(B17,3)),'ships name'!A:C,3,FALSE)</f>
        <v>#N/A</v>
      </c>
      <c r="D18" s="493"/>
      <c r="E18" s="1202"/>
      <c r="F18" s="1202"/>
      <c r="G18" s="501"/>
      <c r="H18" s="1305"/>
      <c r="I18" s="1361"/>
      <c r="J18" s="1422"/>
      <c r="K18" s="1372"/>
      <c r="L18" s="1230"/>
      <c r="M18" s="1353"/>
      <c r="N18" s="1230"/>
      <c r="O18" s="1293"/>
    </row>
    <row r="19" spans="1:22" ht="19.899999999999999" hidden="1" customHeight="1">
      <c r="A19" s="1331">
        <f>A17+1</f>
        <v>23</v>
      </c>
      <c r="B19" s="1390"/>
      <c r="C19" s="110" t="e">
        <f>VLOOKUP((LEFT(B19,3)),'ships name'!A:C,2,FALSE)</f>
        <v>#N/A</v>
      </c>
      <c r="D19" s="558"/>
      <c r="E19" s="1209" t="str">
        <f>RIGHT(B19,3)&amp;"W"</f>
        <v>W</v>
      </c>
      <c r="F19" s="1122" t="str">
        <f>RIGHT(B19,3)&amp;"E"</f>
        <v>E</v>
      </c>
      <c r="G19" s="503"/>
      <c r="H19" s="1378">
        <f>I19-2</f>
        <v>43253</v>
      </c>
      <c r="I19" s="1362">
        <f>J19</f>
        <v>43255</v>
      </c>
      <c r="J19" s="1326">
        <f t="shared" ref="J19" si="8">J17+7</f>
        <v>43255</v>
      </c>
      <c r="K19" s="1371"/>
      <c r="L19" s="1209">
        <f t="shared" ref="L19:N19" si="9">L17+7</f>
        <v>43283</v>
      </c>
      <c r="M19" s="1352">
        <f t="shared" si="9"/>
        <v>43286</v>
      </c>
      <c r="N19" s="1209">
        <f t="shared" si="9"/>
        <v>43288</v>
      </c>
      <c r="O19" s="1292">
        <f>J19+26</f>
        <v>43281</v>
      </c>
    </row>
    <row r="20" spans="1:22" ht="19.899999999999999" hidden="1" customHeight="1" thickBot="1">
      <c r="A20" s="1420"/>
      <c r="B20" s="1391"/>
      <c r="C20" s="111" t="e">
        <f>VLOOKUP((LEFT(B19,3)),'ships name'!A:C,3,FALSE)</f>
        <v>#N/A</v>
      </c>
      <c r="D20" s="511"/>
      <c r="E20" s="1123"/>
      <c r="F20" s="1123"/>
      <c r="G20" s="502"/>
      <c r="H20" s="1379"/>
      <c r="I20" s="1363"/>
      <c r="J20" s="1327"/>
      <c r="K20" s="1375"/>
      <c r="L20" s="1249"/>
      <c r="M20" s="1354"/>
      <c r="N20" s="1249"/>
      <c r="O20" s="1294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3" t="s">
        <v>209</v>
      </c>
      <c r="B23" s="1274"/>
      <c r="C23" s="1274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6" t="s">
        <v>2</v>
      </c>
      <c r="L23" s="1417"/>
      <c r="M23" s="1417"/>
      <c r="N23" s="1417"/>
      <c r="O23" s="1417"/>
      <c r="P23" s="769"/>
    </row>
    <row r="24" spans="1:22" ht="19.899999999999999" customHeight="1">
      <c r="A24" s="1271" t="s">
        <v>3</v>
      </c>
      <c r="B24" s="1268" t="s">
        <v>4</v>
      </c>
      <c r="C24" s="1268" t="s">
        <v>5</v>
      </c>
      <c r="D24" s="1150" t="s">
        <v>4291</v>
      </c>
      <c r="E24" s="1151" t="s">
        <v>6</v>
      </c>
      <c r="F24" s="1152"/>
      <c r="G24" s="1153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4587</v>
      </c>
      <c r="O24" s="485" t="s">
        <v>213</v>
      </c>
      <c r="P24" s="952" t="s">
        <v>3424</v>
      </c>
    </row>
    <row r="25" spans="1:22" ht="19.899999999999999" customHeight="1">
      <c r="A25" s="1271"/>
      <c r="B25" s="1268"/>
      <c r="C25" s="1268"/>
      <c r="D25" s="1094"/>
      <c r="E25" s="1094" t="s">
        <v>13</v>
      </c>
      <c r="F25" s="1380" t="s">
        <v>14</v>
      </c>
      <c r="G25" s="1381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4588</v>
      </c>
      <c r="O25" s="535" t="s">
        <v>217</v>
      </c>
      <c r="P25" s="953" t="s">
        <v>3423</v>
      </c>
    </row>
    <row r="26" spans="1:22" ht="19.899999999999999" customHeight="1" thickBot="1">
      <c r="A26" s="1272"/>
      <c r="B26" s="1269"/>
      <c r="C26" s="1269"/>
      <c r="D26" s="1095"/>
      <c r="E26" s="1095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4764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4769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4765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4770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4766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4771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4767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4772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4768</v>
      </c>
      <c r="C31" s="499" t="str">
        <f>VLOOKUP((LEFT(B31,3)),'ships name'!A:C,2,FALSE)</f>
        <v>CMA CGM OTELLO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4773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00" t="s">
        <v>221</v>
      </c>
      <c r="B33" s="1325"/>
      <c r="C33" s="1325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3" t="s">
        <v>2</v>
      </c>
      <c r="L33" s="1167"/>
      <c r="M33" s="1167"/>
      <c r="N33" s="1167"/>
      <c r="O33" s="1167"/>
      <c r="P33" s="1168"/>
    </row>
    <row r="34" spans="1:22" ht="19.899999999999999" customHeight="1">
      <c r="A34" s="1270" t="s">
        <v>3</v>
      </c>
      <c r="B34" s="1267" t="s">
        <v>4</v>
      </c>
      <c r="C34" s="1267" t="s">
        <v>5</v>
      </c>
      <c r="D34" s="1150" t="s">
        <v>4291</v>
      </c>
      <c r="E34" s="1096" t="s">
        <v>6</v>
      </c>
      <c r="F34" s="1382"/>
      <c r="G34" s="1097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1"/>
      <c r="B35" s="1268"/>
      <c r="C35" s="1268"/>
      <c r="D35" s="1094"/>
      <c r="E35" s="1094" t="s">
        <v>13</v>
      </c>
      <c r="F35" s="1380" t="s">
        <v>14</v>
      </c>
      <c r="G35" s="1381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2"/>
      <c r="B36" s="1269"/>
      <c r="C36" s="1269"/>
      <c r="D36" s="1095"/>
      <c r="E36" s="1095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4539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4540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4774</v>
      </c>
      <c r="C38" s="499" t="str">
        <f>VLOOKUP((LEFT(B38,3)),'ships name'!A:C,2,FALSE)</f>
        <v>EVER LODING</v>
      </c>
      <c r="D38" s="809" t="str">
        <f>VLOOKUP(C38,'ships name'!B:C,2,FALSE)</f>
        <v xml:space="preserve"> </v>
      </c>
      <c r="E38" s="580" t="str">
        <f>RIGHT(B38,3)&amp;"W"</f>
        <v>084W</v>
      </c>
      <c r="F38" s="716" t="str">
        <f>RIGHT(B38,3)&amp;"E"</f>
        <v>084E</v>
      </c>
      <c r="G38" s="716" t="s">
        <v>4777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4775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4778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27</v>
      </c>
      <c r="C40" s="499" t="str">
        <f>VLOOKUP((LEFT(B40,3)),'ships name'!A:C,2,FALSE)</f>
        <v>TO BE ADVISED</v>
      </c>
      <c r="D40" s="809" t="str">
        <f>VLOOKUP(C40,'ships name'!B:C,2,FALSE)</f>
        <v>TO BE ADVISED</v>
      </c>
      <c r="E40" s="580" t="str">
        <f>RIGHT(B40,3)&amp;"W"</f>
        <v>TBAW</v>
      </c>
      <c r="F40" s="753" t="str">
        <f>RIGHT(B40,3)&amp;"E"</f>
        <v>TBAE</v>
      </c>
      <c r="G40" s="753" t="s">
        <v>4779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4776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4780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38" t="s">
        <v>230</v>
      </c>
      <c r="B43" s="1239"/>
      <c r="C43" s="1239"/>
      <c r="D43" s="508"/>
      <c r="E43" s="1384" t="s">
        <v>51</v>
      </c>
      <c r="F43" s="1384"/>
      <c r="G43" s="534"/>
      <c r="H43" s="1325" t="s">
        <v>231</v>
      </c>
      <c r="I43" s="1325"/>
      <c r="J43" s="1325"/>
      <c r="K43" s="1325"/>
      <c r="L43" s="1325"/>
      <c r="M43" s="1325"/>
      <c r="N43" s="1325"/>
      <c r="O43" s="1325"/>
      <c r="P43" s="1308" t="s">
        <v>2</v>
      </c>
      <c r="Q43" s="1309"/>
      <c r="R43" s="1309"/>
      <c r="S43" s="1309"/>
      <c r="T43" s="1310"/>
      <c r="V43" s="223"/>
    </row>
    <row r="44" spans="1:22" s="103" customFormat="1" ht="19.899999999999999" hidden="1" customHeight="1">
      <c r="A44" s="1392" t="s">
        <v>3</v>
      </c>
      <c r="B44" s="1394" t="s">
        <v>4</v>
      </c>
      <c r="C44" s="1394" t="s">
        <v>5</v>
      </c>
      <c r="D44" s="542"/>
      <c r="E44" s="1386" t="s">
        <v>6</v>
      </c>
      <c r="F44" s="1387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23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93"/>
      <c r="B45" s="1280"/>
      <c r="C45" s="1280"/>
      <c r="D45" s="746"/>
      <c r="E45" s="1206" t="s">
        <v>232</v>
      </c>
      <c r="F45" s="1206" t="s">
        <v>233</v>
      </c>
      <c r="G45" s="439"/>
      <c r="H45" s="233" t="s">
        <v>15</v>
      </c>
      <c r="I45" s="233" t="s">
        <v>16</v>
      </c>
      <c r="J45" s="230" t="s">
        <v>17</v>
      </c>
      <c r="K45" s="1280" t="s">
        <v>45</v>
      </c>
      <c r="L45" s="230" t="s">
        <v>46</v>
      </c>
      <c r="M45" s="1324"/>
      <c r="N45" s="1323" t="s">
        <v>169</v>
      </c>
      <c r="O45" s="1285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401"/>
      <c r="B46" s="1300"/>
      <c r="C46" s="1300"/>
      <c r="D46" s="541"/>
      <c r="E46" s="1385"/>
      <c r="F46" s="1385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0"/>
      <c r="L46" s="237" t="s">
        <v>22</v>
      </c>
      <c r="M46" s="1324"/>
      <c r="N46" s="1324"/>
      <c r="O46" s="1286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5">
        <f>IA!A10</f>
        <v>22</v>
      </c>
      <c r="B47" s="1406" t="str">
        <f>IA!B10</f>
        <v>void</v>
      </c>
      <c r="C47" s="262" t="str">
        <f>VLOOKUP(B47,'ships name'!A:D,2,FALSE)</f>
        <v xml:space="preserve">VOID </v>
      </c>
      <c r="D47" s="262"/>
      <c r="E47" s="1383"/>
      <c r="F47" s="1373"/>
      <c r="G47" s="547"/>
      <c r="H47" s="1373">
        <f>IA!H10</f>
        <v>43615</v>
      </c>
      <c r="I47" s="1373">
        <f>IA!I10</f>
        <v>43616</v>
      </c>
      <c r="J47" s="1373">
        <f>IA!J10</f>
        <v>43617</v>
      </c>
      <c r="K47" s="1374" t="s">
        <v>175</v>
      </c>
      <c r="L47" s="1357">
        <f>J47+9</f>
        <v>43626</v>
      </c>
      <c r="M47" s="1303" t="s">
        <v>236</v>
      </c>
      <c r="N47" s="1366" t="str">
        <f>VLOOKUP((LEFT(M47,3)),'ships name'!A:C,2,0)</f>
        <v>MOL MAXIM</v>
      </c>
      <c r="O47" s="1287" t="str">
        <f>RIGHT(M47,3)&amp;"E"</f>
        <v>034E</v>
      </c>
      <c r="P47" s="1315">
        <f>J47+36</f>
        <v>43653</v>
      </c>
      <c r="Q47" s="1283">
        <f>J47+37</f>
        <v>43654</v>
      </c>
      <c r="R47" s="1283">
        <f>J47+39</f>
        <v>43656</v>
      </c>
      <c r="S47" s="1283">
        <f>J47+40</f>
        <v>43657</v>
      </c>
      <c r="T47" s="1311">
        <f>J47+43</f>
        <v>43660</v>
      </c>
      <c r="V47" s="223"/>
    </row>
    <row r="48" spans="1:22" s="103" customFormat="1" ht="19.899999999999999" hidden="1" customHeight="1">
      <c r="A48" s="1272"/>
      <c r="B48" s="1407"/>
      <c r="C48" s="156">
        <f>VLOOKUP(B47,'ships name'!A:D,3,FALSE)</f>
        <v>0</v>
      </c>
      <c r="D48" s="747"/>
      <c r="E48" s="1334"/>
      <c r="F48" s="1365"/>
      <c r="G48" s="754"/>
      <c r="H48" s="1365"/>
      <c r="I48" s="1365"/>
      <c r="J48" s="1365"/>
      <c r="K48" s="1334"/>
      <c r="L48" s="1336"/>
      <c r="M48" s="1304"/>
      <c r="N48" s="1306"/>
      <c r="O48" s="1186"/>
      <c r="P48" s="1316"/>
      <c r="Q48" s="1284"/>
      <c r="R48" s="1284"/>
      <c r="S48" s="1284"/>
      <c r="T48" s="1312"/>
      <c r="V48" s="223"/>
    </row>
    <row r="49" spans="1:24" s="103" customFormat="1" ht="19.899999999999999" hidden="1" customHeight="1">
      <c r="A49" s="1396">
        <f>IA!A11</f>
        <v>23</v>
      </c>
      <c r="B49" s="1406">
        <f>IA!B11</f>
        <v>0</v>
      </c>
      <c r="C49" s="263" t="e">
        <f>VLOOKUP(B49,'ships name'!A:D,2,FALSE)</f>
        <v>#N/A</v>
      </c>
      <c r="D49" s="748"/>
      <c r="E49" s="1334"/>
      <c r="F49" s="1344"/>
      <c r="G49" s="755"/>
      <c r="H49" s="1344">
        <f>IA!H11</f>
        <v>43622</v>
      </c>
      <c r="I49" s="1344">
        <f>IA!I11</f>
        <v>43623</v>
      </c>
      <c r="J49" s="1344">
        <f>IA!J11</f>
        <v>43624</v>
      </c>
      <c r="K49" s="1333" t="s">
        <v>175</v>
      </c>
      <c r="L49" s="1335">
        <f>L47+7</f>
        <v>43633</v>
      </c>
      <c r="M49" s="1305" t="s">
        <v>237</v>
      </c>
      <c r="N49" s="1298" t="str">
        <f>VLOOKUP((LEFT(M49,3)),'ships name'!A:C,2,0)</f>
        <v>MOL MAJESTY</v>
      </c>
      <c r="O49" s="1186" t="str">
        <f>RIGHT(M49,3)&amp;"E"</f>
        <v>041E</v>
      </c>
      <c r="P49" s="1316">
        <f>J49+36</f>
        <v>43660</v>
      </c>
      <c r="Q49" s="1284">
        <f>J49+37</f>
        <v>43661</v>
      </c>
      <c r="R49" s="1284">
        <f>J49+39</f>
        <v>43663</v>
      </c>
      <c r="S49" s="1284">
        <f>J49+40</f>
        <v>43664</v>
      </c>
      <c r="T49" s="1312">
        <f>J49+43</f>
        <v>43667</v>
      </c>
      <c r="V49" s="223"/>
    </row>
    <row r="50" spans="1:24" s="103" customFormat="1" ht="19.899999999999999" hidden="1" customHeight="1">
      <c r="A50" s="1397"/>
      <c r="B50" s="1407"/>
      <c r="C50" s="156" t="e">
        <f>VLOOKUP(B49,'ships name'!A:D,3,FALSE)</f>
        <v>#N/A</v>
      </c>
      <c r="D50" s="747"/>
      <c r="E50" s="1334"/>
      <c r="F50" s="1365"/>
      <c r="G50" s="754"/>
      <c r="H50" s="1365"/>
      <c r="I50" s="1365"/>
      <c r="J50" s="1365"/>
      <c r="K50" s="1334"/>
      <c r="L50" s="1336"/>
      <c r="M50" s="1304"/>
      <c r="N50" s="1306"/>
      <c r="O50" s="1186"/>
      <c r="P50" s="1316"/>
      <c r="Q50" s="1284"/>
      <c r="R50" s="1284"/>
      <c r="S50" s="1284"/>
      <c r="T50" s="1312"/>
      <c r="V50" s="223"/>
    </row>
    <row r="51" spans="1:24" s="103" customFormat="1" ht="19.899999999999999" hidden="1" customHeight="1">
      <c r="A51" s="1398">
        <f>IA!A12</f>
        <v>24</v>
      </c>
      <c r="B51" s="1336">
        <f>IA!B12</f>
        <v>0</v>
      </c>
      <c r="C51" s="156" t="e">
        <f>VLOOKUP(B51,'ships name'!A:D,2,FALSE)</f>
        <v>#N/A</v>
      </c>
      <c r="D51" s="747"/>
      <c r="E51" s="1334"/>
      <c r="F51" s="1344"/>
      <c r="G51" s="755"/>
      <c r="H51" s="1344">
        <f>IA!H12</f>
        <v>43629</v>
      </c>
      <c r="I51" s="1344">
        <f>IA!I12</f>
        <v>43630</v>
      </c>
      <c r="J51" s="1344">
        <f>IA!J12</f>
        <v>43631</v>
      </c>
      <c r="K51" s="1333" t="s">
        <v>175</v>
      </c>
      <c r="L51" s="1335">
        <f>L49+7</f>
        <v>43640</v>
      </c>
      <c r="M51" s="1298" t="s">
        <v>238</v>
      </c>
      <c r="N51" s="1298" t="str">
        <f>VLOOKUP((LEFT(M51,3)),'ships name'!A:C,2,0)</f>
        <v>MOL MODERN</v>
      </c>
      <c r="O51" s="1186" t="str">
        <f>RIGHT(M51,3)&amp;"E"</f>
        <v>035E</v>
      </c>
      <c r="P51" s="1316">
        <f>J51+36</f>
        <v>43667</v>
      </c>
      <c r="Q51" s="1284">
        <f>J51+37</f>
        <v>43668</v>
      </c>
      <c r="R51" s="1284">
        <f>J51+39</f>
        <v>43670</v>
      </c>
      <c r="S51" s="1284">
        <f>J51+40</f>
        <v>43671</v>
      </c>
      <c r="T51" s="1312">
        <f>J51+43</f>
        <v>43674</v>
      </c>
      <c r="V51" s="223"/>
    </row>
    <row r="52" spans="1:24" s="103" customFormat="1" ht="19.899999999999999" hidden="1" customHeight="1">
      <c r="A52" s="1399"/>
      <c r="B52" s="1336"/>
      <c r="C52" s="156" t="e">
        <f>VLOOKUP(B51,'ships name'!A:D,3,FALSE)</f>
        <v>#N/A</v>
      </c>
      <c r="D52" s="747"/>
      <c r="E52" s="1334"/>
      <c r="F52" s="1365"/>
      <c r="G52" s="754"/>
      <c r="H52" s="1365"/>
      <c r="I52" s="1365"/>
      <c r="J52" s="1365"/>
      <c r="K52" s="1334"/>
      <c r="L52" s="1336"/>
      <c r="M52" s="1306"/>
      <c r="N52" s="1306"/>
      <c r="O52" s="1186"/>
      <c r="P52" s="1316"/>
      <c r="Q52" s="1284"/>
      <c r="R52" s="1284"/>
      <c r="S52" s="1284"/>
      <c r="T52" s="1312"/>
      <c r="U52" s="223"/>
      <c r="V52" s="223"/>
    </row>
    <row r="53" spans="1:24" s="211" customFormat="1" ht="19.899999999999999" hidden="1" customHeight="1">
      <c r="A53" s="1398">
        <f>IA!A13</f>
        <v>25</v>
      </c>
      <c r="B53" s="1336">
        <f>IA!B13</f>
        <v>0</v>
      </c>
      <c r="C53" s="227" t="e">
        <f>VLOOKUP(B53,'ships name'!A:C,2,FALSE)</f>
        <v>#N/A</v>
      </c>
      <c r="D53" s="749"/>
      <c r="E53" s="1334"/>
      <c r="F53" s="1298"/>
      <c r="G53" s="756"/>
      <c r="H53" s="1344">
        <f>I53-1</f>
        <v>43636</v>
      </c>
      <c r="I53" s="1344">
        <f>J53-1</f>
        <v>43637</v>
      </c>
      <c r="J53" s="1344">
        <f>J51+7</f>
        <v>43638</v>
      </c>
      <c r="K53" s="1335" t="s">
        <v>239</v>
      </c>
      <c r="L53" s="1335">
        <f>L51+7</f>
        <v>43647</v>
      </c>
      <c r="M53" s="1298" t="s">
        <v>240</v>
      </c>
      <c r="N53" s="1298" t="str">
        <f>VLOOKUP((LEFT(M53,3)),'ships name'!A:C,2,0)</f>
        <v>MOL MAESTRO</v>
      </c>
      <c r="O53" s="1186" t="str">
        <f>RIGHT(M53,3)&amp;"E"</f>
        <v>037E</v>
      </c>
      <c r="P53" s="1317">
        <f>J53+36</f>
        <v>43674</v>
      </c>
      <c r="Q53" s="1282">
        <f>J53+37</f>
        <v>43675</v>
      </c>
      <c r="R53" s="1282">
        <f>J53+39</f>
        <v>43677</v>
      </c>
      <c r="S53" s="1282">
        <f>J53+40</f>
        <v>43678</v>
      </c>
      <c r="T53" s="1313">
        <f>J53+43</f>
        <v>43681</v>
      </c>
      <c r="U53" s="275"/>
      <c r="V53" s="275"/>
    </row>
    <row r="54" spans="1:24" s="211" customFormat="1" ht="19.899999999999999" hidden="1" customHeight="1">
      <c r="A54" s="1399"/>
      <c r="B54" s="1336"/>
      <c r="C54" s="227" t="e">
        <f>VLOOKUP(B53,'ships name'!A:C,3,FALSE)</f>
        <v>#N/A</v>
      </c>
      <c r="D54" s="749"/>
      <c r="E54" s="1334"/>
      <c r="F54" s="1306"/>
      <c r="G54" s="757"/>
      <c r="H54" s="1365"/>
      <c r="I54" s="1365"/>
      <c r="J54" s="1365"/>
      <c r="K54" s="1336"/>
      <c r="L54" s="1336"/>
      <c r="M54" s="1306"/>
      <c r="N54" s="1306"/>
      <c r="O54" s="1186"/>
      <c r="P54" s="1317"/>
      <c r="Q54" s="1282"/>
      <c r="R54" s="1282"/>
      <c r="S54" s="1282"/>
      <c r="T54" s="1313"/>
      <c r="U54" s="275"/>
      <c r="V54" s="275"/>
    </row>
    <row r="55" spans="1:24" s="211" customFormat="1" ht="19.899999999999999" hidden="1" customHeight="1">
      <c r="A55" s="1398">
        <f>IA!A14</f>
        <v>26</v>
      </c>
      <c r="B55" s="1336">
        <f>IA!B14</f>
        <v>0</v>
      </c>
      <c r="C55" s="227" t="e">
        <f>VLOOKUP(B55,'ships name'!A:C,2,FALSE)</f>
        <v>#N/A</v>
      </c>
      <c r="D55" s="749"/>
      <c r="E55" s="1334"/>
      <c r="F55" s="1298"/>
      <c r="G55" s="756"/>
      <c r="H55" s="1344">
        <f>I55-1</f>
        <v>43643</v>
      </c>
      <c r="I55" s="1344">
        <f>J55-1</f>
        <v>43644</v>
      </c>
      <c r="J55" s="1344">
        <f>J53+7</f>
        <v>43645</v>
      </c>
      <c r="K55" s="1335" t="s">
        <v>239</v>
      </c>
      <c r="L55" s="1335">
        <f>L53+7</f>
        <v>43654</v>
      </c>
      <c r="M55" s="1298"/>
      <c r="N55" s="1298" t="e">
        <f>VLOOKUP((LEFT(M55,3)),'ships name'!A:C,2,0)</f>
        <v>#N/A</v>
      </c>
      <c r="O55" s="1186" t="str">
        <f>RIGHT(M55,3)&amp;"E"</f>
        <v>E</v>
      </c>
      <c r="P55" s="1316">
        <f>J55+36</f>
        <v>43681</v>
      </c>
      <c r="Q55" s="1284">
        <f>J55+37</f>
        <v>43682</v>
      </c>
      <c r="R55" s="1284">
        <f>J55+39</f>
        <v>43684</v>
      </c>
      <c r="S55" s="1284">
        <f>J55+40</f>
        <v>43685</v>
      </c>
      <c r="T55" s="1312">
        <f>J55+43</f>
        <v>43688</v>
      </c>
      <c r="U55" s="275"/>
      <c r="V55" s="275"/>
    </row>
    <row r="56" spans="1:24" s="211" customFormat="1" ht="19.899999999999999" hidden="1" customHeight="1">
      <c r="A56" s="1405"/>
      <c r="B56" s="1343"/>
      <c r="C56" s="264" t="e">
        <f>VLOOKUP(B55,'ships name'!A:C,3,FALSE)</f>
        <v>#N/A</v>
      </c>
      <c r="D56" s="750"/>
      <c r="E56" s="1412"/>
      <c r="F56" s="1299"/>
      <c r="G56" s="555"/>
      <c r="H56" s="1345"/>
      <c r="I56" s="1345"/>
      <c r="J56" s="1345"/>
      <c r="K56" s="1343"/>
      <c r="L56" s="1343"/>
      <c r="M56" s="1299"/>
      <c r="N56" s="1299"/>
      <c r="O56" s="1190"/>
      <c r="P56" s="1318"/>
      <c r="Q56" s="1307"/>
      <c r="R56" s="1307"/>
      <c r="S56" s="1307"/>
      <c r="T56" s="1314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38" t="s">
        <v>241</v>
      </c>
      <c r="B58" s="1239"/>
      <c r="C58" s="1239"/>
      <c r="D58" s="508"/>
      <c r="E58" s="1384" t="e">
        <f>LT!#REF!</f>
        <v>#REF!</v>
      </c>
      <c r="F58" s="1384"/>
      <c r="G58" s="534"/>
      <c r="H58" s="1325" t="e">
        <f>LT!#REF!</f>
        <v>#REF!</v>
      </c>
      <c r="I58" s="1325"/>
      <c r="J58" s="1325"/>
      <c r="K58" s="1325"/>
      <c r="L58" s="1325"/>
      <c r="M58" s="1325"/>
      <c r="N58" s="1325"/>
      <c r="O58" s="1325"/>
      <c r="P58" s="1319" t="s">
        <v>2</v>
      </c>
      <c r="Q58" s="1320"/>
      <c r="R58" s="1320"/>
      <c r="S58" s="1320"/>
      <c r="T58" s="1321"/>
      <c r="U58" s="276"/>
      <c r="V58" s="276"/>
      <c r="W58" s="276"/>
      <c r="X58" s="276"/>
    </row>
    <row r="59" spans="1:24" s="103" customFormat="1" ht="19.899999999999999" hidden="1" customHeight="1">
      <c r="A59" s="1392" t="s">
        <v>3</v>
      </c>
      <c r="B59" s="1394" t="s">
        <v>4</v>
      </c>
      <c r="C59" s="1394" t="s">
        <v>5</v>
      </c>
      <c r="D59" s="542"/>
      <c r="E59" s="1386" t="s">
        <v>6</v>
      </c>
      <c r="F59" s="1387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0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93"/>
      <c r="B60" s="1280"/>
      <c r="C60" s="1280"/>
      <c r="D60" s="746"/>
      <c r="E60" s="1280" t="e">
        <f>LT!#REF!</f>
        <v>#REF!</v>
      </c>
      <c r="F60" s="1280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80" t="s">
        <v>45</v>
      </c>
      <c r="L60" s="230" t="s">
        <v>46</v>
      </c>
      <c r="M60" s="1301"/>
      <c r="N60" s="1300" t="s">
        <v>169</v>
      </c>
      <c r="O60" s="1288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402"/>
      <c r="B61" s="1342"/>
      <c r="C61" s="1342"/>
      <c r="D61" s="474"/>
      <c r="E61" s="1342"/>
      <c r="F61" s="1342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42"/>
      <c r="L61" s="267" t="s">
        <v>22</v>
      </c>
      <c r="M61" s="1302"/>
      <c r="N61" s="1302"/>
      <c r="O61" s="1289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92" t="e">
        <f>LT!#REF!</f>
        <v>#REF!</v>
      </c>
      <c r="B62" s="1403" t="e">
        <f>LT!#REF!</f>
        <v>#REF!</v>
      </c>
      <c r="C62" s="265" t="e">
        <f>VLOOKUP(B62,'ships name'!A:D,2,FALSE)</f>
        <v>#REF!</v>
      </c>
      <c r="D62" s="265"/>
      <c r="E62" s="1413" t="e">
        <f>LT!#REF!</f>
        <v>#REF!</v>
      </c>
      <c r="F62" s="1328" t="e">
        <f>LT!#REF!</f>
        <v>#REF!</v>
      </c>
      <c r="G62" s="545"/>
      <c r="H62" s="1328" t="e">
        <f>LT!#REF!</f>
        <v>#REF!</v>
      </c>
      <c r="I62" s="1328" t="e">
        <f>LT!#REF!</f>
        <v>#REF!</v>
      </c>
      <c r="J62" s="1346" t="e">
        <f>LT!#REF!</f>
        <v>#REF!</v>
      </c>
      <c r="K62" s="1279" t="s">
        <v>239</v>
      </c>
      <c r="L62" s="1364" t="e">
        <f>J62+9</f>
        <v>#REF!</v>
      </c>
      <c r="M62" s="1303" t="s">
        <v>243</v>
      </c>
      <c r="N62" s="1328" t="str">
        <f>VLOOKUP((LEFT(M62,3)),'ships name'!A:C,2,0)</f>
        <v>MOL MAXIM</v>
      </c>
      <c r="O62" s="1230" t="str">
        <f>RIGHT(M62,3)&amp;"E"</f>
        <v>031E</v>
      </c>
      <c r="P62" s="1315" t="e">
        <f>J62+30</f>
        <v>#REF!</v>
      </c>
      <c r="Q62" s="1283" t="e">
        <f>P62+2</f>
        <v>#REF!</v>
      </c>
      <c r="R62" s="1283" t="e">
        <f>Q62+1</f>
        <v>#REF!</v>
      </c>
      <c r="S62" s="1283" t="e">
        <f>R62+1</f>
        <v>#REF!</v>
      </c>
      <c r="T62" s="1311" t="e">
        <f>S62+3</f>
        <v>#REF!</v>
      </c>
      <c r="U62" s="1277"/>
      <c r="V62" s="1277"/>
    </row>
    <row r="63" spans="1:24" s="103" customFormat="1" ht="19.899999999999999" hidden="1" customHeight="1">
      <c r="A63" s="1393"/>
      <c r="B63" s="1339"/>
      <c r="C63" s="106" t="e">
        <f>VLOOKUP(B62,'ships name'!A:D,3,FALSE)</f>
        <v>#REF!</v>
      </c>
      <c r="D63" s="439"/>
      <c r="E63" s="1329"/>
      <c r="F63" s="1329"/>
      <c r="G63" s="758"/>
      <c r="H63" s="1329"/>
      <c r="I63" s="1329"/>
      <c r="J63" s="1347"/>
      <c r="K63" s="1280"/>
      <c r="L63" s="1337"/>
      <c r="M63" s="1304"/>
      <c r="N63" s="1329"/>
      <c r="O63" s="1192"/>
      <c r="P63" s="1316"/>
      <c r="Q63" s="1284"/>
      <c r="R63" s="1284"/>
      <c r="S63" s="1284"/>
      <c r="T63" s="1312"/>
      <c r="U63" s="1278"/>
      <c r="V63" s="1278"/>
    </row>
    <row r="64" spans="1:24" s="103" customFormat="1" ht="19.899999999999999" hidden="1" customHeight="1">
      <c r="A64" s="1392" t="e">
        <f>LT!#REF!</f>
        <v>#REF!</v>
      </c>
      <c r="B64" s="1403" t="e">
        <f>LT!#REF!</f>
        <v>#REF!</v>
      </c>
      <c r="C64" s="266" t="e">
        <f>VLOOKUP(B64,'ships name'!A:D,2,FALSE)</f>
        <v>#REF!</v>
      </c>
      <c r="D64" s="265"/>
      <c r="E64" s="1413" t="e">
        <f>LT!#REF!</f>
        <v>#REF!</v>
      </c>
      <c r="F64" s="1328" t="e">
        <f>LT!#REF!</f>
        <v>#REF!</v>
      </c>
      <c r="G64" s="545"/>
      <c r="H64" s="1328" t="e">
        <f>LT!#REF!</f>
        <v>#REF!</v>
      </c>
      <c r="I64" s="1328" t="e">
        <f>LT!#REF!</f>
        <v>#REF!</v>
      </c>
      <c r="J64" s="1346" t="e">
        <f>LT!#REF!</f>
        <v>#REF!</v>
      </c>
      <c r="K64" s="1281" t="s">
        <v>239</v>
      </c>
      <c r="L64" s="1284" t="e">
        <f>L62+7</f>
        <v>#REF!</v>
      </c>
      <c r="M64" s="1305" t="s">
        <v>244</v>
      </c>
      <c r="N64" s="1328" t="str">
        <f>VLOOKUP((LEFT(M64,3)),'ships name'!A:C,2,0)</f>
        <v>MOL MAJESTY</v>
      </c>
      <c r="O64" s="1230" t="str">
        <f>RIGHT(M64,3)&amp;"E"</f>
        <v>038E</v>
      </c>
      <c r="P64" s="1316" t="e">
        <f>J64+30</f>
        <v>#REF!</v>
      </c>
      <c r="Q64" s="1284" t="e">
        <f>P64+2</f>
        <v>#REF!</v>
      </c>
      <c r="R64" s="1284" t="e">
        <f>Q64+1</f>
        <v>#REF!</v>
      </c>
      <c r="S64" s="1284" t="e">
        <f>R64+1</f>
        <v>#REF!</v>
      </c>
      <c r="T64" s="1312" t="e">
        <f>S64+3</f>
        <v>#REF!</v>
      </c>
      <c r="U64" s="1277"/>
      <c r="V64" s="1277"/>
    </row>
    <row r="65" spans="1:22" s="103" customFormat="1" ht="19.899999999999999" hidden="1" customHeight="1">
      <c r="A65" s="1393"/>
      <c r="B65" s="1339"/>
      <c r="C65" s="106" t="e">
        <f>VLOOKUP(B64,'ships name'!A:D,3,FALSE)</f>
        <v>#REF!</v>
      </c>
      <c r="D65" s="439"/>
      <c r="E65" s="1329"/>
      <c r="F65" s="1329"/>
      <c r="G65" s="758"/>
      <c r="H65" s="1329"/>
      <c r="I65" s="1329"/>
      <c r="J65" s="1347"/>
      <c r="K65" s="1280"/>
      <c r="L65" s="1337"/>
      <c r="M65" s="1304"/>
      <c r="N65" s="1329"/>
      <c r="O65" s="1192"/>
      <c r="P65" s="1316"/>
      <c r="Q65" s="1284"/>
      <c r="R65" s="1284"/>
      <c r="S65" s="1284"/>
      <c r="T65" s="1312"/>
      <c r="U65" s="1278"/>
      <c r="V65" s="1278"/>
    </row>
    <row r="66" spans="1:22" s="103" customFormat="1" ht="19.899999999999999" hidden="1" customHeight="1">
      <c r="A66" s="1392" t="e">
        <f>LT!#REF!</f>
        <v>#REF!</v>
      </c>
      <c r="B66" s="1389" t="e">
        <f>LT!#REF!</f>
        <v>#REF!</v>
      </c>
      <c r="C66" s="110" t="e">
        <f>VLOOKUP(B66,'ships name'!A:D,2,FALSE)</f>
        <v>#REF!</v>
      </c>
      <c r="D66" s="493"/>
      <c r="E66" s="1389" t="e">
        <f>LT!#REF!</f>
        <v>#REF!</v>
      </c>
      <c r="F66" s="1328" t="e">
        <f>LT!#REF!</f>
        <v>#REF!</v>
      </c>
      <c r="G66" s="545"/>
      <c r="H66" s="1328" t="e">
        <f>LT!#REF!</f>
        <v>#REF!</v>
      </c>
      <c r="I66" s="1328" t="e">
        <f>LT!#REF!</f>
        <v>#REF!</v>
      </c>
      <c r="J66" s="1346" t="e">
        <f>LT!#REF!</f>
        <v>#REF!</v>
      </c>
      <c r="K66" s="1281" t="s">
        <v>239</v>
      </c>
      <c r="L66" s="1284" t="e">
        <f>L64+7</f>
        <v>#REF!</v>
      </c>
      <c r="M66" s="1298" t="s">
        <v>245</v>
      </c>
      <c r="N66" s="1328" t="str">
        <f>VLOOKUP((LEFT(M66,3)),'ships name'!A:C,2,0)</f>
        <v>MOL MODERN</v>
      </c>
      <c r="O66" s="1230" t="str">
        <f>RIGHT(M66,3)&amp;"E"</f>
        <v>032E</v>
      </c>
      <c r="P66" s="1316" t="e">
        <f>J66+30</f>
        <v>#REF!</v>
      </c>
      <c r="Q66" s="1284" t="e">
        <f>P66+2</f>
        <v>#REF!</v>
      </c>
      <c r="R66" s="1284" t="e">
        <f>Q66+1</f>
        <v>#REF!</v>
      </c>
      <c r="S66" s="1284" t="e">
        <f>R66+1</f>
        <v>#REF!</v>
      </c>
      <c r="T66" s="1312" t="e">
        <f>S66+3</f>
        <v>#REF!</v>
      </c>
      <c r="U66" s="1277"/>
      <c r="V66" s="1277"/>
    </row>
    <row r="67" spans="1:22" s="103" customFormat="1" ht="19.899999999999999" hidden="1" customHeight="1">
      <c r="A67" s="1393"/>
      <c r="B67" s="1304"/>
      <c r="C67" s="109" t="e">
        <f>VLOOKUP(B66,'ships name'!A:D,3,FALSE)</f>
        <v>#REF!</v>
      </c>
      <c r="D67" s="499"/>
      <c r="E67" s="1304"/>
      <c r="F67" s="1329"/>
      <c r="G67" s="758"/>
      <c r="H67" s="1329"/>
      <c r="I67" s="1329"/>
      <c r="J67" s="1347"/>
      <c r="K67" s="1280"/>
      <c r="L67" s="1337"/>
      <c r="M67" s="1306"/>
      <c r="N67" s="1329"/>
      <c r="O67" s="1192"/>
      <c r="P67" s="1316"/>
      <c r="Q67" s="1284"/>
      <c r="R67" s="1284"/>
      <c r="S67" s="1284"/>
      <c r="T67" s="1312"/>
      <c r="U67" s="1278"/>
      <c r="V67" s="1278"/>
    </row>
    <row r="68" spans="1:22" s="103" customFormat="1" ht="19.899999999999999" hidden="1" customHeight="1">
      <c r="A68" s="1392" t="e">
        <f>LT!#REF!</f>
        <v>#REF!</v>
      </c>
      <c r="B68" s="1389" t="e">
        <f>LT!#REF!</f>
        <v>#REF!</v>
      </c>
      <c r="C68" s="220" t="e">
        <f>VLOOKUP(B68,'ships name'!A:C,2,FALSE)</f>
        <v>#REF!</v>
      </c>
      <c r="D68" s="531"/>
      <c r="E68" s="1410" t="e">
        <f>LT!#REF!</f>
        <v>#REF!</v>
      </c>
      <c r="F68" s="1330" t="e">
        <f>LT!#REF!</f>
        <v>#REF!</v>
      </c>
      <c r="G68" s="546"/>
      <c r="H68" s="1330" t="e">
        <f>LT!#REF!</f>
        <v>#REF!</v>
      </c>
      <c r="I68" s="1330" t="e">
        <f>LT!#REF!</f>
        <v>#REF!</v>
      </c>
      <c r="J68" s="1348" t="e">
        <f>LT!#REF!</f>
        <v>#REF!</v>
      </c>
      <c r="K68" s="1338" t="s">
        <v>239</v>
      </c>
      <c r="L68" s="1282" t="e">
        <f>L66+7</f>
        <v>#REF!</v>
      </c>
      <c r="M68" s="1298" t="s">
        <v>246</v>
      </c>
      <c r="N68" s="1330" t="str">
        <f>VLOOKUP((LEFT(M68,3)),'ships name'!A:C,2,0)</f>
        <v>MOL MAESTRO</v>
      </c>
      <c r="O68" s="1322" t="str">
        <f>RIGHT(M68,3)&amp;"E"</f>
        <v>034E</v>
      </c>
      <c r="P68" s="1317" t="e">
        <f>J68+30</f>
        <v>#REF!</v>
      </c>
      <c r="Q68" s="1282" t="e">
        <f>P68+2</f>
        <v>#REF!</v>
      </c>
      <c r="R68" s="1282" t="e">
        <f>Q68+1</f>
        <v>#REF!</v>
      </c>
      <c r="S68" s="1282" t="e">
        <f>R68+1</f>
        <v>#REF!</v>
      </c>
      <c r="T68" s="1313" t="e">
        <f>S68+3</f>
        <v>#REF!</v>
      </c>
      <c r="U68" s="1296"/>
      <c r="V68" s="1277"/>
    </row>
    <row r="69" spans="1:22" s="103" customFormat="1" ht="19.899999999999999" hidden="1" customHeight="1">
      <c r="A69" s="1393"/>
      <c r="B69" s="1304"/>
      <c r="C69" s="220" t="e">
        <f>VLOOKUP(B68,'ships name'!A:C,3,FALSE)</f>
        <v>#REF!</v>
      </c>
      <c r="D69" s="531"/>
      <c r="E69" s="1411"/>
      <c r="F69" s="1331"/>
      <c r="G69" s="759"/>
      <c r="H69" s="1331"/>
      <c r="I69" s="1331"/>
      <c r="J69" s="1349"/>
      <c r="K69" s="1339"/>
      <c r="L69" s="1355"/>
      <c r="M69" s="1306"/>
      <c r="N69" s="1331"/>
      <c r="O69" s="1182"/>
      <c r="P69" s="1317"/>
      <c r="Q69" s="1282"/>
      <c r="R69" s="1282"/>
      <c r="S69" s="1282"/>
      <c r="T69" s="1313"/>
      <c r="U69" s="1297"/>
      <c r="V69" s="1278"/>
    </row>
    <row r="70" spans="1:22" s="103" customFormat="1" ht="19.899999999999999" hidden="1" customHeight="1">
      <c r="A70" s="1393" t="e">
        <f>LT!#REF!</f>
        <v>#REF!</v>
      </c>
      <c r="B70" s="1404" t="e">
        <f>LT!#REF!</f>
        <v>#REF!</v>
      </c>
      <c r="C70" s="220" t="e">
        <f>VLOOKUP(B70,'ships name'!A:C,2,FALSE)</f>
        <v>#REF!</v>
      </c>
      <c r="D70" s="531"/>
      <c r="E70" s="1306" t="e">
        <f>LT!#REF!</f>
        <v>#REF!</v>
      </c>
      <c r="F70" s="1298" t="e">
        <f>LT!#REF!</f>
        <v>#REF!</v>
      </c>
      <c r="G70" s="756"/>
      <c r="H70" s="1298" t="e">
        <f>LT!#REF!</f>
        <v>#REF!</v>
      </c>
      <c r="I70" s="1298" t="e">
        <f>LT!#REF!</f>
        <v>#REF!</v>
      </c>
      <c r="J70" s="1298" t="e">
        <f>LT!#REF!</f>
        <v>#REF!</v>
      </c>
      <c r="K70" s="1340" t="s">
        <v>239</v>
      </c>
      <c r="L70" s="1284" t="e">
        <f>L68+7</f>
        <v>#REF!</v>
      </c>
      <c r="M70" s="1298" t="s">
        <v>247</v>
      </c>
      <c r="N70" s="1328" t="str">
        <f>VLOOKUP((LEFT(M70,3)),'ships name'!A:C,2,0)</f>
        <v>MOL MARVEL</v>
      </c>
      <c r="O70" s="1186" t="str">
        <f>RIGHT(M70,3)&amp;"E"</f>
        <v>033E</v>
      </c>
      <c r="P70" s="1316" t="e">
        <f>J70+30</f>
        <v>#REF!</v>
      </c>
      <c r="Q70" s="1284" t="e">
        <f>P70+2</f>
        <v>#REF!</v>
      </c>
      <c r="R70" s="1284" t="e">
        <f>Q70+1</f>
        <v>#REF!</v>
      </c>
      <c r="S70" s="1284" t="e">
        <f>R70+1</f>
        <v>#REF!</v>
      </c>
      <c r="T70" s="1312" t="e">
        <f>S70+3</f>
        <v>#REF!</v>
      </c>
      <c r="U70" s="1277"/>
      <c r="V70" s="1277"/>
    </row>
    <row r="71" spans="1:22" s="103" customFormat="1" ht="19.899999999999999" hidden="1" customHeight="1">
      <c r="A71" s="1402"/>
      <c r="B71" s="1341"/>
      <c r="C71" s="228" t="e">
        <f>VLOOKUP(B70,'ships name'!A:C,3,FALSE)</f>
        <v>#REF!</v>
      </c>
      <c r="D71" s="539"/>
      <c r="E71" s="1299"/>
      <c r="F71" s="1299"/>
      <c r="G71" s="555"/>
      <c r="H71" s="1299"/>
      <c r="I71" s="1299"/>
      <c r="J71" s="1299"/>
      <c r="K71" s="1341"/>
      <c r="L71" s="1356"/>
      <c r="M71" s="1299"/>
      <c r="N71" s="1332"/>
      <c r="O71" s="1190"/>
      <c r="P71" s="1318"/>
      <c r="Q71" s="1307"/>
      <c r="R71" s="1307"/>
      <c r="S71" s="1307"/>
      <c r="T71" s="1314"/>
      <c r="U71" s="1278"/>
      <c r="V71" s="1278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3" t="s">
        <v>4010</v>
      </c>
      <c r="B73" s="1274"/>
      <c r="C73" s="1274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3" t="s">
        <v>2</v>
      </c>
      <c r="L73" s="1167"/>
      <c r="M73" s="1168"/>
    </row>
    <row r="74" spans="1:22" ht="19.899999999999999" customHeight="1">
      <c r="A74" s="1271" t="s">
        <v>3</v>
      </c>
      <c r="B74" s="1268" t="s">
        <v>4</v>
      </c>
      <c r="C74" s="1268" t="s">
        <v>5</v>
      </c>
      <c r="D74" s="1150" t="s">
        <v>4291</v>
      </c>
      <c r="E74" s="1151" t="s">
        <v>6</v>
      </c>
      <c r="F74" s="1152"/>
      <c r="G74" s="1153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1"/>
      <c r="B75" s="1268"/>
      <c r="C75" s="1268"/>
      <c r="D75" s="1094"/>
      <c r="E75" s="1094" t="s">
        <v>13</v>
      </c>
      <c r="F75" s="1380" t="s">
        <v>14</v>
      </c>
      <c r="G75" s="1381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2"/>
      <c r="B76" s="1269"/>
      <c r="C76" s="1269"/>
      <c r="D76" s="1095"/>
      <c r="E76" s="1095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4781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4786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4782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4787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4783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4788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4784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4789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4785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4790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7" zoomScale="85" zoomScaleNormal="85" workbookViewId="0">
      <selection activeCell="P61" sqref="P61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5" t="s">
        <v>0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  <c r="L2" s="1275"/>
      <c r="M2" s="210"/>
    </row>
    <row r="3" spans="1:17" ht="28.15" customHeight="1">
      <c r="A3" s="111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210"/>
    </row>
    <row r="4" spans="1:17" s="210" customFormat="1" ht="28.15" customHeight="1">
      <c r="A4" s="1275" t="str">
        <f>IA!A4</f>
        <v>2019年06月船期表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</row>
    <row r="5" spans="1:17" s="103" customFormat="1" ht="19.899999999999999" customHeight="1" thickBot="1">
      <c r="A5" s="101"/>
    </row>
    <row r="6" spans="1:17" s="100" customFormat="1" ht="25.9" customHeight="1" thickBot="1">
      <c r="A6" s="1211" t="s">
        <v>4228</v>
      </c>
      <c r="B6" s="1212"/>
      <c r="C6" s="1212"/>
      <c r="D6" s="550"/>
      <c r="E6" s="1252" t="s">
        <v>4229</v>
      </c>
      <c r="F6" s="1252"/>
      <c r="G6" s="551"/>
      <c r="H6" s="1252" t="s">
        <v>250</v>
      </c>
      <c r="I6" s="1252" t="s">
        <v>493</v>
      </c>
      <c r="J6" s="1441"/>
      <c r="K6" s="1416" t="s">
        <v>2</v>
      </c>
      <c r="L6" s="1417"/>
      <c r="M6" s="1417"/>
    </row>
    <row r="7" spans="1:17" s="103" customFormat="1" ht="19.899999999999999" customHeight="1">
      <c r="A7" s="1226" t="s">
        <v>3</v>
      </c>
      <c r="B7" s="1251" t="s">
        <v>4</v>
      </c>
      <c r="C7" s="1251" t="s">
        <v>5</v>
      </c>
      <c r="D7" s="1150" t="s">
        <v>4291</v>
      </c>
      <c r="E7" s="1151" t="s">
        <v>6</v>
      </c>
      <c r="F7" s="1152"/>
      <c r="G7" s="1153"/>
      <c r="H7" s="514" t="s">
        <v>7</v>
      </c>
      <c r="I7" s="514" t="s">
        <v>8</v>
      </c>
      <c r="J7" s="514" t="s">
        <v>9</v>
      </c>
      <c r="K7" s="1438" t="s">
        <v>4135</v>
      </c>
      <c r="L7" s="1439"/>
      <c r="M7" s="1071"/>
      <c r="N7" s="1437"/>
    </row>
    <row r="8" spans="1:17" s="103" customFormat="1" ht="19.899999999999999" customHeight="1">
      <c r="A8" s="1425"/>
      <c r="B8" s="1427"/>
      <c r="C8" s="1427"/>
      <c r="D8" s="1094"/>
      <c r="E8" s="1240" t="s">
        <v>13</v>
      </c>
      <c r="F8" s="1450" t="s">
        <v>14</v>
      </c>
      <c r="G8" s="1451"/>
      <c r="H8" s="439" t="s">
        <v>15</v>
      </c>
      <c r="I8" s="439" t="s">
        <v>16</v>
      </c>
      <c r="J8" s="439" t="s">
        <v>17</v>
      </c>
      <c r="K8" s="1414" t="s">
        <v>4136</v>
      </c>
      <c r="L8" s="1415"/>
      <c r="M8" s="1072" t="s">
        <v>4137</v>
      </c>
      <c r="N8" s="1437"/>
    </row>
    <row r="9" spans="1:17" s="103" customFormat="1" ht="19.899999999999999" customHeight="1" thickBot="1">
      <c r="A9" s="1426"/>
      <c r="B9" s="1428"/>
      <c r="C9" s="1428"/>
      <c r="D9" s="1095"/>
      <c r="E9" s="1220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28"/>
      <c r="L9" s="1428"/>
      <c r="M9" s="1067"/>
      <c r="N9" s="1437"/>
    </row>
    <row r="10" spans="1:17" s="103" customFormat="1" ht="19.5" customHeight="1">
      <c r="A10" s="537">
        <v>23</v>
      </c>
      <c r="B10" s="531" t="s">
        <v>4796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4791</v>
      </c>
      <c r="H10" s="501">
        <f>I10-1</f>
        <v>43620</v>
      </c>
      <c r="I10" s="501">
        <f>J10-1</f>
        <v>43621</v>
      </c>
      <c r="J10" s="501">
        <v>43622</v>
      </c>
      <c r="K10" s="1202">
        <f>J10+12</f>
        <v>43634</v>
      </c>
      <c r="L10" s="1202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4797</v>
      </c>
      <c r="C11" s="499" t="str">
        <f>VLOOKUP((LEFT(B11,3)),'ships name'!A:C,2,FALSE)</f>
        <v>APL Japan</v>
      </c>
      <c r="D11" s="809" t="str">
        <f>VLOOKUP(C11,'ships name'!B:C,2,FALSE)</f>
        <v>美总日本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33" t="s">
        <v>4792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40">
        <f t="shared" ref="K11" si="4">J11+12</f>
        <v>43641</v>
      </c>
      <c r="L11" s="1440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4798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4793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40">
        <f t="shared" ref="K12" si="7">J12+12</f>
        <v>43648</v>
      </c>
      <c r="L12" s="1440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4799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4794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40">
        <f t="shared" ref="K13" si="10">J13+12</f>
        <v>43655</v>
      </c>
      <c r="L13" s="1440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4800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4795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40">
        <f t="shared" ref="K14" si="13">J14+12</f>
        <v>43662</v>
      </c>
      <c r="L14" s="1440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11" t="s">
        <v>4283</v>
      </c>
      <c r="B16" s="1212"/>
      <c r="C16" s="1212"/>
      <c r="D16" s="550"/>
      <c r="E16" s="1252" t="s">
        <v>32</v>
      </c>
      <c r="F16" s="1252"/>
      <c r="G16" s="551"/>
      <c r="H16" s="226" t="s">
        <v>250</v>
      </c>
      <c r="I16" s="226"/>
      <c r="J16" s="226"/>
      <c r="K16" s="1262" t="s">
        <v>2</v>
      </c>
      <c r="L16" s="1263"/>
      <c r="M16" s="1263"/>
      <c r="N16" s="1263"/>
      <c r="O16" s="1263"/>
      <c r="P16" s="1263"/>
      <c r="Q16" s="1264"/>
    </row>
    <row r="17" spans="1:17" s="103" customFormat="1" ht="19.899999999999999" customHeight="1">
      <c r="A17" s="1226" t="s">
        <v>3</v>
      </c>
      <c r="B17" s="1251" t="s">
        <v>4</v>
      </c>
      <c r="C17" s="1251" t="s">
        <v>5</v>
      </c>
      <c r="D17" s="1150" t="s">
        <v>4291</v>
      </c>
      <c r="E17" s="1151" t="s">
        <v>6</v>
      </c>
      <c r="F17" s="1152"/>
      <c r="G17" s="1153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6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5"/>
      <c r="B18" s="1427"/>
      <c r="C18" s="1427"/>
      <c r="D18" s="1094"/>
      <c r="E18" s="1094" t="s">
        <v>13</v>
      </c>
      <c r="F18" s="1380" t="s">
        <v>14</v>
      </c>
      <c r="G18" s="1381"/>
      <c r="H18" s="499" t="s">
        <v>15</v>
      </c>
      <c r="I18" s="499" t="s">
        <v>16</v>
      </c>
      <c r="J18" s="476" t="s">
        <v>17</v>
      </c>
      <c r="K18" s="1430" t="s">
        <v>45</v>
      </c>
      <c r="L18" s="746" t="s">
        <v>46</v>
      </c>
      <c r="M18" s="1286"/>
      <c r="N18" s="1423" t="s">
        <v>169</v>
      </c>
      <c r="O18" s="1423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6"/>
      <c r="B19" s="1428"/>
      <c r="C19" s="1428"/>
      <c r="D19" s="1095"/>
      <c r="E19" s="1095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31"/>
      <c r="L19" s="474" t="s">
        <v>47</v>
      </c>
      <c r="M19" s="1429"/>
      <c r="N19" s="1424"/>
      <c r="O19" s="1424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4801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4802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4803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4804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4805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11" t="s">
        <v>4212</v>
      </c>
      <c r="B26" s="1212"/>
      <c r="C26" s="1212"/>
      <c r="D26" s="1058"/>
      <c r="E26" s="1458" t="s">
        <v>4450</v>
      </c>
      <c r="F26" s="1458"/>
      <c r="G26" s="1062"/>
      <c r="H26" s="1252" t="s">
        <v>250</v>
      </c>
      <c r="I26" s="1252" t="s">
        <v>429</v>
      </c>
      <c r="J26" s="1441"/>
      <c r="K26" s="1173" t="s">
        <v>2</v>
      </c>
      <c r="L26" s="1167"/>
      <c r="M26" s="1442"/>
    </row>
    <row r="27" spans="1:17" s="103" customFormat="1" ht="19.899999999999999" hidden="1" customHeight="1">
      <c r="A27" s="1453" t="s">
        <v>3</v>
      </c>
      <c r="B27" s="1452" t="s">
        <v>4</v>
      </c>
      <c r="C27" s="1452" t="s">
        <v>5</v>
      </c>
      <c r="D27" s="1432" t="s">
        <v>4291</v>
      </c>
      <c r="E27" s="1106" t="s">
        <v>6</v>
      </c>
      <c r="F27" s="1107"/>
      <c r="G27" s="1108"/>
      <c r="H27" s="1061" t="s">
        <v>7</v>
      </c>
      <c r="I27" s="1061" t="s">
        <v>8</v>
      </c>
      <c r="J27" s="1061" t="s">
        <v>9</v>
      </c>
      <c r="K27" s="1433" t="s">
        <v>259</v>
      </c>
      <c r="L27" s="1434"/>
      <c r="M27" s="1071"/>
      <c r="N27" s="1437"/>
    </row>
    <row r="28" spans="1:17" s="103" customFormat="1" ht="19.899999999999999" hidden="1" customHeight="1">
      <c r="A28" s="1454"/>
      <c r="B28" s="1215"/>
      <c r="C28" s="1215"/>
      <c r="D28" s="1219"/>
      <c r="E28" s="1449" t="s">
        <v>13</v>
      </c>
      <c r="F28" s="1456" t="s">
        <v>14</v>
      </c>
      <c r="G28" s="1457"/>
      <c r="H28" s="1064" t="s">
        <v>15</v>
      </c>
      <c r="I28" s="1064" t="s">
        <v>16</v>
      </c>
      <c r="J28" s="1064" t="s">
        <v>17</v>
      </c>
      <c r="K28" s="1443" t="s">
        <v>252</v>
      </c>
      <c r="L28" s="1444"/>
      <c r="M28" s="1072"/>
      <c r="N28" s="1437"/>
    </row>
    <row r="29" spans="1:17" s="103" customFormat="1" ht="19.899999999999999" hidden="1" customHeight="1" thickBot="1">
      <c r="A29" s="1455"/>
      <c r="B29" s="1216"/>
      <c r="C29" s="1216"/>
      <c r="D29" s="1220"/>
      <c r="E29" s="1220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45"/>
      <c r="L29" s="1446"/>
      <c r="M29" s="1067"/>
      <c r="N29" s="1437"/>
    </row>
    <row r="30" spans="1:17" s="103" customFormat="1" ht="19.5" hidden="1" customHeight="1">
      <c r="A30" s="537">
        <v>14</v>
      </c>
      <c r="B30" s="1063" t="s">
        <v>4430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4428</v>
      </c>
      <c r="H30" s="1056">
        <f>I30-1</f>
        <v>43557</v>
      </c>
      <c r="I30" s="1056">
        <f>J30-1</f>
        <v>43558</v>
      </c>
      <c r="J30" s="1056">
        <v>43559</v>
      </c>
      <c r="K30" s="1447">
        <f>J30+12</f>
        <v>43571</v>
      </c>
      <c r="L30" s="1448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4504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4498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35">
        <f t="shared" ref="K31" si="25">J31+12</f>
        <v>43578</v>
      </c>
      <c r="L31" s="1436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4503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4499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35">
        <f t="shared" ref="K32" si="26">J32+12</f>
        <v>43585</v>
      </c>
      <c r="L32" s="1436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4500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35">
        <f t="shared" ref="K33" si="27">J33+12</f>
        <v>43592</v>
      </c>
      <c r="L33" s="1436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4502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4501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35">
        <f t="shared" ref="K34" si="28">J34+12</f>
        <v>43599</v>
      </c>
      <c r="L34" s="1436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11" t="s">
        <v>4570</v>
      </c>
      <c r="B36" s="1212"/>
      <c r="C36" s="1212"/>
      <c r="D36" s="1058"/>
      <c r="E36" s="1252" t="s">
        <v>4575</v>
      </c>
      <c r="F36" s="1252"/>
      <c r="G36" s="1062"/>
      <c r="H36" s="1252" t="s">
        <v>4576</v>
      </c>
      <c r="I36" s="1252" t="s">
        <v>429</v>
      </c>
      <c r="J36" s="1441"/>
      <c r="K36" s="1173" t="s">
        <v>2</v>
      </c>
      <c r="L36" s="1167"/>
      <c r="M36" s="1442"/>
    </row>
    <row r="37" spans="1:14" s="103" customFormat="1" ht="19.899999999999999" customHeight="1">
      <c r="A37" s="1453" t="s">
        <v>3</v>
      </c>
      <c r="B37" s="1452" t="s">
        <v>4</v>
      </c>
      <c r="C37" s="1452" t="s">
        <v>5</v>
      </c>
      <c r="D37" s="1432" t="s">
        <v>4291</v>
      </c>
      <c r="E37" s="1106" t="s">
        <v>6</v>
      </c>
      <c r="F37" s="1107"/>
      <c r="G37" s="1108"/>
      <c r="H37" s="1061" t="s">
        <v>7</v>
      </c>
      <c r="I37" s="1061" t="s">
        <v>8</v>
      </c>
      <c r="J37" s="1061" t="s">
        <v>9</v>
      </c>
      <c r="K37" s="1433" t="s">
        <v>259</v>
      </c>
      <c r="L37" s="1434"/>
      <c r="M37" s="1071" t="s">
        <v>260</v>
      </c>
      <c r="N37" s="1437"/>
    </row>
    <row r="38" spans="1:14" s="103" customFormat="1" ht="19.899999999999999" customHeight="1">
      <c r="A38" s="1454"/>
      <c r="B38" s="1215"/>
      <c r="C38" s="1215"/>
      <c r="D38" s="1219"/>
      <c r="E38" s="1449" t="s">
        <v>13</v>
      </c>
      <c r="F38" s="1456" t="s">
        <v>14</v>
      </c>
      <c r="G38" s="1457"/>
      <c r="H38" s="1064" t="s">
        <v>15</v>
      </c>
      <c r="I38" s="1064" t="s">
        <v>16</v>
      </c>
      <c r="J38" s="1064" t="s">
        <v>17</v>
      </c>
      <c r="K38" s="1443" t="s">
        <v>252</v>
      </c>
      <c r="L38" s="1444"/>
      <c r="M38" s="1072" t="s">
        <v>251</v>
      </c>
      <c r="N38" s="1437"/>
    </row>
    <row r="39" spans="1:14" s="103" customFormat="1" ht="19.899999999999999" customHeight="1" thickBot="1">
      <c r="A39" s="1455"/>
      <c r="B39" s="1216"/>
      <c r="C39" s="1216"/>
      <c r="D39" s="1220"/>
      <c r="E39" s="1220"/>
      <c r="F39" s="605" t="s">
        <v>4292</v>
      </c>
      <c r="G39" s="1052" t="s">
        <v>4293</v>
      </c>
      <c r="H39" s="1077" t="s">
        <v>4577</v>
      </c>
      <c r="I39" s="1065" t="s">
        <v>93</v>
      </c>
      <c r="J39" s="1065" t="s">
        <v>94</v>
      </c>
      <c r="K39" s="1445"/>
      <c r="L39" s="1446"/>
      <c r="M39" s="1067"/>
      <c r="N39" s="1437"/>
    </row>
    <row r="40" spans="1:14" s="103" customFormat="1" ht="19.5" customHeight="1">
      <c r="A40" s="537">
        <v>23</v>
      </c>
      <c r="B40" s="1063" t="s">
        <v>4574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4572</v>
      </c>
      <c r="H40" s="1056">
        <f>I40-1</f>
        <v>43617</v>
      </c>
      <c r="I40" s="1056">
        <f>J40-1</f>
        <v>43618</v>
      </c>
      <c r="J40" s="1056">
        <v>43619</v>
      </c>
      <c r="K40" s="1447">
        <f>J40+13</f>
        <v>43632</v>
      </c>
      <c r="L40" s="1448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4806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4810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35">
        <f t="shared" ref="K41:K44" si="32">J41+12</f>
        <v>43638</v>
      </c>
      <c r="L41" s="1436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4807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4811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35">
        <f t="shared" si="32"/>
        <v>43645</v>
      </c>
      <c r="L42" s="1436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4808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4812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35">
        <f t="shared" si="32"/>
        <v>43652</v>
      </c>
      <c r="L43" s="1436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4809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4813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35">
        <f t="shared" si="32"/>
        <v>43659</v>
      </c>
      <c r="L44" s="1436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11" t="s">
        <v>86</v>
      </c>
      <c r="B46" s="1212"/>
      <c r="C46" s="1212"/>
      <c r="D46" s="550"/>
      <c r="E46" s="1252" t="s">
        <v>74</v>
      </c>
      <c r="F46" s="1252" t="s">
        <v>3272</v>
      </c>
      <c r="G46" s="551"/>
      <c r="H46" s="1252" t="s">
        <v>250</v>
      </c>
      <c r="I46" s="1252" t="s">
        <v>3273</v>
      </c>
      <c r="J46" s="1441"/>
      <c r="K46" s="1416" t="s">
        <v>2</v>
      </c>
      <c r="L46" s="1417"/>
      <c r="M46" s="1417"/>
      <c r="N46"/>
    </row>
    <row r="47" spans="1:14" s="103" customFormat="1" ht="19.899999999999999" customHeight="1">
      <c r="A47" s="1226" t="s">
        <v>3</v>
      </c>
      <c r="B47" s="1251" t="s">
        <v>4</v>
      </c>
      <c r="C47" s="1251" t="s">
        <v>5</v>
      </c>
      <c r="D47" s="1150" t="s">
        <v>4291</v>
      </c>
      <c r="E47" s="1151" t="s">
        <v>6</v>
      </c>
      <c r="F47" s="1152"/>
      <c r="G47" s="1153"/>
      <c r="H47" s="514" t="s">
        <v>7</v>
      </c>
      <c r="I47" s="514" t="s">
        <v>8</v>
      </c>
      <c r="J47" s="514" t="s">
        <v>9</v>
      </c>
      <c r="K47" s="1438" t="s">
        <v>260</v>
      </c>
      <c r="L47" s="1439"/>
      <c r="M47" s="1071" t="s">
        <v>253</v>
      </c>
      <c r="N47" s="1437"/>
    </row>
    <row r="48" spans="1:14" s="103" customFormat="1" ht="19.899999999999999" customHeight="1">
      <c r="A48" s="1425"/>
      <c r="B48" s="1427"/>
      <c r="C48" s="1427"/>
      <c r="D48" s="1094"/>
      <c r="E48" s="1240" t="s">
        <v>13</v>
      </c>
      <c r="F48" s="1450" t="s">
        <v>14</v>
      </c>
      <c r="G48" s="1451"/>
      <c r="H48" s="439" t="s">
        <v>15</v>
      </c>
      <c r="I48" s="439" t="s">
        <v>16</v>
      </c>
      <c r="J48" s="439" t="s">
        <v>17</v>
      </c>
      <c r="K48" s="1414" t="s">
        <v>251</v>
      </c>
      <c r="L48" s="1415"/>
      <c r="M48" s="1072" t="s">
        <v>254</v>
      </c>
      <c r="N48" s="1437"/>
    </row>
    <row r="49" spans="1:18" s="103" customFormat="1" ht="19.899999999999999" customHeight="1" thickBot="1">
      <c r="A49" s="1426"/>
      <c r="B49" s="1428"/>
      <c r="C49" s="1428"/>
      <c r="D49" s="1095"/>
      <c r="E49" s="1220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28"/>
      <c r="L49" s="1428"/>
      <c r="M49" s="1067"/>
      <c r="N49" s="1437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4541</v>
      </c>
      <c r="H50" s="501">
        <f>I50</f>
        <v>43615</v>
      </c>
      <c r="I50" s="501">
        <f>J50-2</f>
        <v>43615</v>
      </c>
      <c r="J50" s="501">
        <v>43617</v>
      </c>
      <c r="K50" s="1202">
        <f>J50+15</f>
        <v>43632</v>
      </c>
      <c r="L50" s="1202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4814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4818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40">
        <f t="shared" si="39"/>
        <v>43639</v>
      </c>
      <c r="L51" s="1440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4815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4819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40">
        <f t="shared" si="39"/>
        <v>43646</v>
      </c>
      <c r="L52" s="1440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4816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4820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40">
        <f t="shared" si="39"/>
        <v>43653</v>
      </c>
      <c r="L53" s="1440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4817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4821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40">
        <f t="shared" si="39"/>
        <v>43660</v>
      </c>
      <c r="L54" s="1440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11" t="s">
        <v>255</v>
      </c>
      <c r="B56" s="1212"/>
      <c r="C56" s="1212"/>
      <c r="D56" s="550"/>
      <c r="E56" s="1252" t="s">
        <v>74</v>
      </c>
      <c r="F56" s="1252" t="s">
        <v>3271</v>
      </c>
      <c r="G56" s="970" t="s">
        <v>3080</v>
      </c>
      <c r="H56" s="1252" t="s">
        <v>256</v>
      </c>
      <c r="I56" s="1252" t="s">
        <v>3273</v>
      </c>
      <c r="J56" s="1441"/>
      <c r="K56" s="1416" t="s">
        <v>2</v>
      </c>
      <c r="L56" s="1417"/>
      <c r="M56" s="1417"/>
      <c r="N56" s="928"/>
      <c r="O56" s="103"/>
      <c r="P56" s="103"/>
      <c r="Q56" s="103"/>
      <c r="R56" s="103"/>
    </row>
    <row r="57" spans="1:18" s="103" customFormat="1" ht="19.899999999999999" customHeight="1">
      <c r="A57" s="1226" t="s">
        <v>3</v>
      </c>
      <c r="B57" s="1251" t="s">
        <v>4</v>
      </c>
      <c r="C57" s="1251" t="s">
        <v>5</v>
      </c>
      <c r="D57" s="1150" t="s">
        <v>4291</v>
      </c>
      <c r="E57" s="1151" t="s">
        <v>6</v>
      </c>
      <c r="F57" s="1152"/>
      <c r="G57" s="1153"/>
      <c r="H57" s="514" t="s">
        <v>7</v>
      </c>
      <c r="I57" s="514" t="s">
        <v>8</v>
      </c>
      <c r="J57" s="514" t="s">
        <v>9</v>
      </c>
      <c r="K57" s="1438" t="s">
        <v>257</v>
      </c>
      <c r="L57" s="1439"/>
      <c r="M57" s="1071" t="s">
        <v>253</v>
      </c>
      <c r="N57" s="928"/>
    </row>
    <row r="58" spans="1:18" s="103" customFormat="1" ht="19.899999999999999" customHeight="1">
      <c r="A58" s="1425"/>
      <c r="B58" s="1427"/>
      <c r="C58" s="1427"/>
      <c r="D58" s="1094"/>
      <c r="E58" s="1240" t="s">
        <v>13</v>
      </c>
      <c r="F58" s="1450" t="s">
        <v>14</v>
      </c>
      <c r="G58" s="1451"/>
      <c r="H58" s="439" t="s">
        <v>15</v>
      </c>
      <c r="I58" s="439" t="s">
        <v>16</v>
      </c>
      <c r="J58" s="439" t="s">
        <v>17</v>
      </c>
      <c r="K58" s="1414" t="s">
        <v>258</v>
      </c>
      <c r="L58" s="1415"/>
      <c r="M58" s="1072" t="s">
        <v>254</v>
      </c>
      <c r="N58" s="928"/>
      <c r="Q58" s="223"/>
    </row>
    <row r="59" spans="1:18" s="103" customFormat="1" ht="19.899999999999999" customHeight="1" thickBot="1">
      <c r="A59" s="1426"/>
      <c r="B59" s="1428"/>
      <c r="C59" s="1428"/>
      <c r="D59" s="1095"/>
      <c r="E59" s="1220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28"/>
      <c r="L59" s="1428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4592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4542</v>
      </c>
      <c r="H60" s="501">
        <f>I60-1</f>
        <v>43616</v>
      </c>
      <c r="I60" s="501">
        <f>J60-1</f>
        <v>43617</v>
      </c>
      <c r="J60" s="501">
        <v>43618</v>
      </c>
      <c r="K60" s="1202">
        <f>J60+11</f>
        <v>43629</v>
      </c>
      <c r="L60" s="1202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4822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4826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40">
        <f>J61+11</f>
        <v>43636</v>
      </c>
      <c r="L61" s="1440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4823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4827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40">
        <f>J62+11</f>
        <v>43643</v>
      </c>
      <c r="L62" s="1440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4824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4828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40">
        <f>J63+11</f>
        <v>43650</v>
      </c>
      <c r="L63" s="1440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4825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103W</v>
      </c>
      <c r="F64" s="487" t="str">
        <f t="shared" ref="F64" si="45">RIGHT(B64,3)&amp;"E"</f>
        <v>103E</v>
      </c>
      <c r="G64" s="487" t="s">
        <v>4829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40">
        <f>J64+11</f>
        <v>43657</v>
      </c>
      <c r="L64" s="1440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11" t="s">
        <v>4543</v>
      </c>
      <c r="B66" s="1212"/>
      <c r="C66" s="1212"/>
      <c r="D66" s="550"/>
      <c r="E66" s="1252" t="s">
        <v>74</v>
      </c>
      <c r="F66" s="1252"/>
      <c r="G66" s="551"/>
      <c r="H66" s="1252" t="s">
        <v>256</v>
      </c>
      <c r="I66" s="1252"/>
      <c r="J66" s="1441"/>
      <c r="K66" s="1416" t="s">
        <v>2</v>
      </c>
      <c r="L66" s="1417"/>
      <c r="M66" s="1417"/>
      <c r="N66" s="103"/>
      <c r="O66" s="103"/>
      <c r="P66" s="103"/>
      <c r="Q66" s="103"/>
      <c r="R66" s="103"/>
    </row>
    <row r="67" spans="1:18" s="103" customFormat="1" ht="19.899999999999999" customHeight="1">
      <c r="A67" s="1226" t="s">
        <v>3</v>
      </c>
      <c r="B67" s="1251" t="s">
        <v>4</v>
      </c>
      <c r="C67" s="1251" t="s">
        <v>5</v>
      </c>
      <c r="D67" s="1150" t="s">
        <v>4291</v>
      </c>
      <c r="E67" s="1151" t="s">
        <v>6</v>
      </c>
      <c r="F67" s="1152"/>
      <c r="G67" s="1153"/>
      <c r="H67" s="514" t="s">
        <v>7</v>
      </c>
      <c r="I67" s="514" t="s">
        <v>8</v>
      </c>
      <c r="J67" s="514" t="s">
        <v>9</v>
      </c>
      <c r="K67" s="1438" t="s">
        <v>3536</v>
      </c>
      <c r="L67" s="1439"/>
      <c r="M67" s="1071" t="s">
        <v>253</v>
      </c>
      <c r="N67" s="928"/>
    </row>
    <row r="68" spans="1:18" s="103" customFormat="1" ht="19.899999999999999" customHeight="1">
      <c r="A68" s="1425"/>
      <c r="B68" s="1427"/>
      <c r="C68" s="1427"/>
      <c r="D68" s="1094"/>
      <c r="E68" s="1240" t="s">
        <v>13</v>
      </c>
      <c r="F68" s="1450" t="s">
        <v>14</v>
      </c>
      <c r="G68" s="1451"/>
      <c r="H68" s="439" t="s">
        <v>15</v>
      </c>
      <c r="I68" s="439" t="s">
        <v>16</v>
      </c>
      <c r="J68" s="439" t="s">
        <v>17</v>
      </c>
      <c r="K68" s="1414" t="s">
        <v>3535</v>
      </c>
      <c r="L68" s="1415"/>
      <c r="M68" s="1072" t="s">
        <v>273</v>
      </c>
      <c r="N68" s="928"/>
      <c r="Q68" s="223"/>
    </row>
    <row r="69" spans="1:18" s="103" customFormat="1" ht="19.899999999999999" customHeight="1" thickBot="1">
      <c r="A69" s="1426"/>
      <c r="B69" s="1428"/>
      <c r="C69" s="1428"/>
      <c r="D69" s="1095"/>
      <c r="E69" s="1220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28"/>
      <c r="L69" s="1428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4544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4834</v>
      </c>
      <c r="H70" s="501">
        <f>I70-1</f>
        <v>43617</v>
      </c>
      <c r="I70" s="501">
        <f>J70-1</f>
        <v>43618</v>
      </c>
      <c r="J70" s="501">
        <v>43619</v>
      </c>
      <c r="K70" s="1202">
        <f>J70+12</f>
        <v>43631</v>
      </c>
      <c r="L70" s="1202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4830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4835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35">
        <f>J71+12</f>
        <v>43638</v>
      </c>
      <c r="L71" s="1436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4831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4836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35">
        <f>J72+12</f>
        <v>43645</v>
      </c>
      <c r="L72" s="1436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4832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4837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35">
        <f>J73+12</f>
        <v>43652</v>
      </c>
      <c r="L73" s="1436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4833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4838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35">
        <f>J74+12</f>
        <v>43659</v>
      </c>
      <c r="L74" s="1436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5" t="s">
        <v>0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  <c r="L2" s="1275"/>
      <c r="M2" s="1275"/>
      <c r="N2" s="1275"/>
      <c r="O2" s="1275"/>
    </row>
    <row r="3" spans="1:17" ht="28.15" customHeight="1">
      <c r="A3" s="111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</row>
    <row r="4" spans="1:17" ht="28.15" customHeight="1">
      <c r="A4" s="1275" t="str">
        <f>IA!A4</f>
        <v>2019年06月船期表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38" t="s">
        <v>274</v>
      </c>
      <c r="B6" s="1239"/>
      <c r="C6" s="1239"/>
      <c r="D6" s="1179" t="s">
        <v>74</v>
      </c>
      <c r="E6" s="1179"/>
      <c r="F6" s="1179"/>
      <c r="G6" s="1179"/>
      <c r="H6" s="1179" t="s">
        <v>75</v>
      </c>
      <c r="I6" s="1179"/>
      <c r="J6" s="1179"/>
      <c r="K6" s="1519" t="s">
        <v>2</v>
      </c>
      <c r="L6" s="1520"/>
      <c r="M6" s="1520"/>
      <c r="N6" s="1520"/>
      <c r="O6" s="1520"/>
      <c r="P6" s="1521"/>
      <c r="Q6" s="203"/>
    </row>
    <row r="7" spans="1:17" s="103" customFormat="1" ht="19.899999999999999" customHeight="1">
      <c r="A7" s="1512" t="s">
        <v>3</v>
      </c>
      <c r="B7" s="1150" t="s">
        <v>4</v>
      </c>
      <c r="C7" s="1150" t="s">
        <v>5</v>
      </c>
      <c r="D7" s="1150" t="s">
        <v>6</v>
      </c>
      <c r="E7" s="1150"/>
      <c r="F7" s="1150"/>
      <c r="G7" s="1150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91"/>
      <c r="B8" s="1093"/>
      <c r="C8" s="1093"/>
      <c r="D8" s="1093" t="s">
        <v>232</v>
      </c>
      <c r="E8" s="1093"/>
      <c r="F8" s="1093" t="s">
        <v>122</v>
      </c>
      <c r="G8" s="1093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13"/>
      <c r="B9" s="1498"/>
      <c r="C9" s="1498"/>
      <c r="D9" s="1498"/>
      <c r="E9" s="1498"/>
      <c r="F9" s="1498"/>
      <c r="G9" s="1498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4">
        <v>14</v>
      </c>
      <c r="B10" s="1245" t="s">
        <v>284</v>
      </c>
      <c r="C10" s="110" t="str">
        <f>VLOOKUP(B10,'ships name'!A:C,2,FALSE)</f>
        <v>CMA CGM VELA</v>
      </c>
      <c r="D10" s="1192" t="str">
        <f>TEXT(LEFT(F10,3)-1,"000")&amp;"E"</f>
        <v>190E</v>
      </c>
      <c r="E10" s="1192"/>
      <c r="F10" s="1501" t="s">
        <v>285</v>
      </c>
      <c r="G10" s="1192"/>
      <c r="H10" s="1202"/>
      <c r="I10" s="1202">
        <f>J10-1</f>
        <v>42836</v>
      </c>
      <c r="J10" s="1129">
        <v>42837</v>
      </c>
      <c r="K10" s="1469">
        <f>J10+8</f>
        <v>42845</v>
      </c>
      <c r="L10" s="1469">
        <f>J10+24</f>
        <v>42861</v>
      </c>
      <c r="M10" s="1469">
        <f>J10+29</f>
        <v>42866</v>
      </c>
      <c r="N10" s="1469">
        <f>J10+30</f>
        <v>42867</v>
      </c>
      <c r="O10" s="1469">
        <f>J10+33</f>
        <v>42870</v>
      </c>
      <c r="P10" s="1469">
        <f>J10+27</f>
        <v>42864</v>
      </c>
      <c r="Q10" s="1464">
        <f>J10+40</f>
        <v>42877</v>
      </c>
    </row>
    <row r="11" spans="1:17" s="103" customFormat="1" ht="19.899999999999999" customHeight="1">
      <c r="A11" s="1505"/>
      <c r="B11" s="1230"/>
      <c r="C11" s="109" t="str">
        <f>VLOOKUP(B10,'ships name'!A:C,3,FALSE)</f>
        <v xml:space="preserve"> </v>
      </c>
      <c r="D11" s="1192"/>
      <c r="E11" s="1192"/>
      <c r="F11" s="1230"/>
      <c r="G11" s="1248"/>
      <c r="H11" s="1192"/>
      <c r="I11" s="1192"/>
      <c r="J11" s="1518"/>
      <c r="K11" s="1461"/>
      <c r="L11" s="1461"/>
      <c r="M11" s="1461"/>
      <c r="N11" s="1461"/>
      <c r="O11" s="1461"/>
      <c r="P11" s="1461"/>
      <c r="Q11" s="1465"/>
    </row>
    <row r="12" spans="1:17" s="103" customFormat="1" ht="19.899999999999999" customHeight="1">
      <c r="A12" s="1506">
        <f>A10+1</f>
        <v>15</v>
      </c>
      <c r="B12" s="1230" t="s">
        <v>3153</v>
      </c>
      <c r="C12" s="109" t="str">
        <f>VLOOKUP(B12,'ships name'!A:C,2,FALSE)</f>
        <v>TO BE ADVISED</v>
      </c>
      <c r="D12" s="1192" t="e">
        <f>TEXT(LEFT(F12,3)-1,"000")&amp;"E"</f>
        <v>#VALUE!</v>
      </c>
      <c r="E12" s="1192"/>
      <c r="F12" s="1502"/>
      <c r="G12" s="1192"/>
      <c r="H12" s="1187"/>
      <c r="I12" s="1202">
        <f>I10+7</f>
        <v>42843</v>
      </c>
      <c r="J12" s="1485">
        <f>J10+7</f>
        <v>42844</v>
      </c>
      <c r="K12" s="1470">
        <f>J12+8</f>
        <v>42852</v>
      </c>
      <c r="L12" s="1470">
        <f>J12+23</f>
        <v>42867</v>
      </c>
      <c r="M12" s="1470">
        <f>J12+28</f>
        <v>42872</v>
      </c>
      <c r="N12" s="1470">
        <f>J12+31</f>
        <v>42875</v>
      </c>
      <c r="O12" s="1470">
        <f>J12+33</f>
        <v>42877</v>
      </c>
      <c r="P12" s="1470">
        <f>J12+27</f>
        <v>42871</v>
      </c>
      <c r="Q12" s="1466">
        <f>J12+40</f>
        <v>42884</v>
      </c>
    </row>
    <row r="13" spans="1:17" s="103" customFormat="1" ht="19.899999999999999" customHeight="1">
      <c r="A13" s="1505"/>
      <c r="B13" s="1192"/>
      <c r="C13" s="109" t="str">
        <f>VLOOKUP(B12,'ships name'!A:C,3,FALSE)</f>
        <v>TO BE ADVISED</v>
      </c>
      <c r="D13" s="1192"/>
      <c r="E13" s="1192"/>
      <c r="F13" s="1192"/>
      <c r="G13" s="1248"/>
      <c r="H13" s="1192"/>
      <c r="I13" s="1192"/>
      <c r="J13" s="1486"/>
      <c r="K13" s="1471"/>
      <c r="L13" s="1471"/>
      <c r="M13" s="1471"/>
      <c r="N13" s="1471"/>
      <c r="O13" s="1471"/>
      <c r="P13" s="1471"/>
      <c r="Q13" s="1467"/>
    </row>
    <row r="14" spans="1:17" s="171" customFormat="1" ht="19.899999999999999" customHeight="1">
      <c r="A14" s="1506">
        <f>A12+1</f>
        <v>16</v>
      </c>
      <c r="B14" s="1507" t="s">
        <v>3149</v>
      </c>
      <c r="C14" s="109" t="str">
        <f>VLOOKUP(B14,'ships name'!A:C,2,FALSE)</f>
        <v>CMA CGM PEGASUS</v>
      </c>
      <c r="D14" s="1192" t="str">
        <f>TEXT(LEFT(F14,3)-1,"000")&amp;"E"</f>
        <v>194E</v>
      </c>
      <c r="E14" s="1192"/>
      <c r="F14" s="1502" t="s">
        <v>3150</v>
      </c>
      <c r="G14" s="1192"/>
      <c r="H14" s="1187"/>
      <c r="I14" s="1202">
        <f>I12+7</f>
        <v>42850</v>
      </c>
      <c r="J14" s="1485">
        <f>J12+7</f>
        <v>42851</v>
      </c>
      <c r="K14" s="1470">
        <f>J14+8</f>
        <v>42859</v>
      </c>
      <c r="L14" s="1470">
        <f>J14+23</f>
        <v>42874</v>
      </c>
      <c r="M14" s="1470">
        <f>J14+28</f>
        <v>42879</v>
      </c>
      <c r="N14" s="1470">
        <f>J14+31</f>
        <v>42882</v>
      </c>
      <c r="O14" s="1470">
        <f>J14+33</f>
        <v>42884</v>
      </c>
      <c r="P14" s="1470">
        <f>J14+27</f>
        <v>42878</v>
      </c>
      <c r="Q14" s="1466">
        <f>J14+40</f>
        <v>42891</v>
      </c>
    </row>
    <row r="15" spans="1:17" s="171" customFormat="1" ht="19.899999999999999" customHeight="1">
      <c r="A15" s="1505"/>
      <c r="B15" s="1507"/>
      <c r="C15" s="109" t="str">
        <f>VLOOKUP(B14,'ships name'!A:C,3,FALSE)</f>
        <v xml:space="preserve"> </v>
      </c>
      <c r="D15" s="1192"/>
      <c r="E15" s="1192"/>
      <c r="F15" s="1192"/>
      <c r="G15" s="1248"/>
      <c r="H15" s="1192"/>
      <c r="I15" s="1192"/>
      <c r="J15" s="1486"/>
      <c r="K15" s="1471"/>
      <c r="L15" s="1471"/>
      <c r="M15" s="1471"/>
      <c r="N15" s="1471"/>
      <c r="O15" s="1471"/>
      <c r="P15" s="1471"/>
      <c r="Q15" s="1467"/>
    </row>
    <row r="16" spans="1:17" s="171" customFormat="1" ht="19.899999999999999" customHeight="1">
      <c r="A16" s="1506">
        <f>A14+1</f>
        <v>17</v>
      </c>
      <c r="B16" s="1507" t="s">
        <v>3151</v>
      </c>
      <c r="C16" s="109" t="str">
        <f>VLOOKUP(B16,'ships name'!A:C,2,FALSE)</f>
        <v>CMA CGM HYDRA</v>
      </c>
      <c r="D16" s="1192" t="str">
        <f>TEXT(LEFT(F16,3)-1,"000")&amp;"E"</f>
        <v>196E</v>
      </c>
      <c r="E16" s="1192"/>
      <c r="F16" s="1502" t="s">
        <v>3152</v>
      </c>
      <c r="G16" s="1192"/>
      <c r="H16" s="1187"/>
      <c r="I16" s="1202">
        <f>I14+7</f>
        <v>42857</v>
      </c>
      <c r="J16" s="1485">
        <f>J14+7</f>
        <v>42858</v>
      </c>
      <c r="K16" s="1470">
        <f>J16+8</f>
        <v>42866</v>
      </c>
      <c r="L16" s="1470">
        <f>J16+23</f>
        <v>42881</v>
      </c>
      <c r="M16" s="1470">
        <f>J16+28</f>
        <v>42886</v>
      </c>
      <c r="N16" s="1470">
        <f>J16+31</f>
        <v>42889</v>
      </c>
      <c r="O16" s="1470">
        <f>J16+33</f>
        <v>42891</v>
      </c>
      <c r="P16" s="1470">
        <f>J16+27</f>
        <v>42885</v>
      </c>
      <c r="Q16" s="1466">
        <f>J16+40</f>
        <v>42898</v>
      </c>
    </row>
    <row r="17" spans="1:17" s="171" customFormat="1" ht="19.899999999999999" customHeight="1">
      <c r="A17" s="1505"/>
      <c r="B17" s="1507"/>
      <c r="C17" s="109" t="str">
        <f>VLOOKUP(B16,'ships name'!A:C,3,FALSE)</f>
        <v xml:space="preserve"> </v>
      </c>
      <c r="D17" s="1192"/>
      <c r="E17" s="1192"/>
      <c r="F17" s="1192"/>
      <c r="G17" s="1248"/>
      <c r="H17" s="1192"/>
      <c r="I17" s="1192"/>
      <c r="J17" s="1486"/>
      <c r="K17" s="1471"/>
      <c r="L17" s="1471"/>
      <c r="M17" s="1471"/>
      <c r="N17" s="1471"/>
      <c r="O17" s="1471"/>
      <c r="P17" s="1471"/>
      <c r="Q17" s="1467"/>
    </row>
    <row r="18" spans="1:17" s="171" customFormat="1" ht="19.899999999999999" customHeight="1">
      <c r="A18" s="1506">
        <f>A16+1</f>
        <v>18</v>
      </c>
      <c r="B18" s="1248"/>
      <c r="C18" s="109" t="e">
        <f>VLOOKUP(B18,'ships name'!A:C,2,FALSE)</f>
        <v>#N/A</v>
      </c>
      <c r="D18" s="1192" t="e">
        <f>TEXT(LEFT(F18,3)-1,"000")&amp;"E"</f>
        <v>#VALUE!</v>
      </c>
      <c r="E18" s="1192"/>
      <c r="F18" s="1502"/>
      <c r="G18" s="1192"/>
      <c r="H18" s="1187"/>
      <c r="I18" s="1187">
        <f>I16+7</f>
        <v>42864</v>
      </c>
      <c r="J18" s="1487">
        <f>J16+7</f>
        <v>42865</v>
      </c>
      <c r="K18" s="1461">
        <f>J18+8</f>
        <v>42873</v>
      </c>
      <c r="L18" s="1461">
        <f>J18+23</f>
        <v>42888</v>
      </c>
      <c r="M18" s="1461">
        <f>J18+28</f>
        <v>42893</v>
      </c>
      <c r="N18" s="1461">
        <f>J18+31</f>
        <v>42896</v>
      </c>
      <c r="O18" s="1461">
        <f>J18+33</f>
        <v>42898</v>
      </c>
      <c r="P18" s="1461">
        <f>J18+27</f>
        <v>42892</v>
      </c>
      <c r="Q18" s="1465">
        <f>J18+40</f>
        <v>42905</v>
      </c>
    </row>
    <row r="19" spans="1:17" s="171" customFormat="1" ht="19.899999999999999" customHeight="1">
      <c r="A19" s="1505"/>
      <c r="B19" s="1249"/>
      <c r="C19" s="111" t="e">
        <f>VLOOKUP(B18,'ships name'!A:C,3,FALSE)</f>
        <v>#N/A</v>
      </c>
      <c r="D19" s="1188"/>
      <c r="E19" s="1188"/>
      <c r="F19" s="1188"/>
      <c r="G19" s="1188"/>
      <c r="H19" s="1188"/>
      <c r="I19" s="1188"/>
      <c r="J19" s="1488"/>
      <c r="K19" s="1462"/>
      <c r="L19" s="1462"/>
      <c r="M19" s="1462"/>
      <c r="N19" s="1462"/>
      <c r="O19" s="1462"/>
      <c r="P19" s="1462"/>
      <c r="Q19" s="1468"/>
    </row>
    <row r="20" spans="1:17" s="100" customFormat="1" ht="25.9" customHeight="1">
      <c r="A20" s="1238" t="s">
        <v>286</v>
      </c>
      <c r="B20" s="1239"/>
      <c r="C20" s="1239"/>
      <c r="D20" s="1179" t="s">
        <v>74</v>
      </c>
      <c r="E20" s="1179"/>
      <c r="F20" s="1179"/>
      <c r="G20" s="1179"/>
      <c r="H20" s="1179" t="s">
        <v>75</v>
      </c>
      <c r="I20" s="1179"/>
      <c r="J20" s="1179"/>
      <c r="K20" s="1519" t="s">
        <v>2</v>
      </c>
      <c r="L20" s="1520"/>
      <c r="M20" s="1520"/>
      <c r="N20" s="1520"/>
      <c r="O20" s="1520"/>
      <c r="P20" s="1521"/>
      <c r="Q20" s="203"/>
    </row>
    <row r="21" spans="1:17" s="103" customFormat="1" ht="19.899999999999999" customHeight="1">
      <c r="A21" s="1512" t="s">
        <v>3</v>
      </c>
      <c r="B21" s="1150" t="s">
        <v>4</v>
      </c>
      <c r="C21" s="1150" t="s">
        <v>5</v>
      </c>
      <c r="D21" s="1150" t="s">
        <v>6</v>
      </c>
      <c r="E21" s="1150"/>
      <c r="F21" s="1150"/>
      <c r="G21" s="1150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91"/>
      <c r="B22" s="1093"/>
      <c r="C22" s="1093"/>
      <c r="D22" s="1093" t="s">
        <v>232</v>
      </c>
      <c r="E22" s="1093"/>
      <c r="F22" s="1093" t="s">
        <v>122</v>
      </c>
      <c r="G22" s="1093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13"/>
      <c r="B23" s="1498"/>
      <c r="C23" s="1498"/>
      <c r="D23" s="1498"/>
      <c r="E23" s="1498"/>
      <c r="F23" s="1498"/>
      <c r="G23" s="1498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4">
        <v>14</v>
      </c>
      <c r="B24" s="1245" t="s">
        <v>298</v>
      </c>
      <c r="C24" s="110" t="str">
        <f>VLOOKUP(B24,'ships name'!A:C,2,FALSE)</f>
        <v>TAMPA TRIUMPH</v>
      </c>
      <c r="D24" s="1192"/>
      <c r="E24" s="1192"/>
      <c r="F24" s="1501" t="s">
        <v>299</v>
      </c>
      <c r="G24" s="1192"/>
      <c r="H24" s="1202"/>
      <c r="I24" s="1202">
        <f>J24-1</f>
        <v>42832</v>
      </c>
      <c r="J24" s="1129">
        <v>42833</v>
      </c>
      <c r="K24" s="1469">
        <f>J24+10</f>
        <v>42843</v>
      </c>
      <c r="L24" s="1469">
        <f>J24+27</f>
        <v>42860</v>
      </c>
      <c r="M24" s="1469">
        <f>J24+29</f>
        <v>42862</v>
      </c>
      <c r="N24" s="1469">
        <f>J24+32</f>
        <v>42865</v>
      </c>
      <c r="O24" s="1469">
        <f>J24+34</f>
        <v>42867</v>
      </c>
      <c r="P24" s="1469">
        <f>J24+24</f>
        <v>42857</v>
      </c>
      <c r="Q24" s="1464">
        <f>J24+44</f>
        <v>42877</v>
      </c>
    </row>
    <row r="25" spans="1:17" s="103" customFormat="1" ht="19.899999999999999" customHeight="1">
      <c r="A25" s="1505"/>
      <c r="B25" s="1230"/>
      <c r="C25" s="109" t="str">
        <f>VLOOKUP(B24,'ships name'!A:C,3,FALSE)</f>
        <v xml:space="preserve"> </v>
      </c>
      <c r="D25" s="1192"/>
      <c r="E25" s="1192"/>
      <c r="F25" s="1230"/>
      <c r="G25" s="1248"/>
      <c r="H25" s="1192"/>
      <c r="I25" s="1192"/>
      <c r="J25" s="1518"/>
      <c r="K25" s="1461"/>
      <c r="L25" s="1461"/>
      <c r="M25" s="1461"/>
      <c r="N25" s="1461"/>
      <c r="O25" s="1461"/>
      <c r="P25" s="1461"/>
      <c r="Q25" s="1465"/>
    </row>
    <row r="26" spans="1:17" s="103" customFormat="1" ht="19.899999999999999" customHeight="1">
      <c r="A26" s="1506">
        <f>A24+1</f>
        <v>15</v>
      </c>
      <c r="B26" s="1230" t="s">
        <v>300</v>
      </c>
      <c r="C26" s="109" t="str">
        <f>VLOOKUP(B26,'ships name'!A:C,2,FALSE)</f>
        <v>MALIK AL ASHTAR</v>
      </c>
      <c r="D26" s="1192"/>
      <c r="E26" s="1192"/>
      <c r="F26" s="1502" t="s">
        <v>285</v>
      </c>
      <c r="G26" s="1192"/>
      <c r="H26" s="1187"/>
      <c r="I26" s="1202">
        <f>I24+7</f>
        <v>42839</v>
      </c>
      <c r="J26" s="1485">
        <f>J24+7</f>
        <v>42840</v>
      </c>
      <c r="K26" s="1470">
        <f>J26+22</f>
        <v>42862</v>
      </c>
      <c r="L26" s="1470">
        <f>J26+23</f>
        <v>42863</v>
      </c>
      <c r="M26" s="1470">
        <f>J26+28</f>
        <v>42868</v>
      </c>
      <c r="N26" s="1470">
        <f>J26+31</f>
        <v>42871</v>
      </c>
      <c r="O26" s="1470">
        <f>J26+33</f>
        <v>42873</v>
      </c>
      <c r="P26" s="1470">
        <f>J26+24</f>
        <v>42864</v>
      </c>
      <c r="Q26" s="1466">
        <f>J26+44</f>
        <v>42884</v>
      </c>
    </row>
    <row r="27" spans="1:17" s="103" customFormat="1" ht="19.899999999999999" customHeight="1">
      <c r="A27" s="1505"/>
      <c r="B27" s="1192"/>
      <c r="C27" s="109" t="str">
        <f>VLOOKUP(B26,'ships name'!A:C,3,FALSE)</f>
        <v xml:space="preserve"> </v>
      </c>
      <c r="D27" s="1192"/>
      <c r="E27" s="1192"/>
      <c r="F27" s="1192"/>
      <c r="G27" s="1248"/>
      <c r="H27" s="1192"/>
      <c r="I27" s="1192"/>
      <c r="J27" s="1486"/>
      <c r="K27" s="1471"/>
      <c r="L27" s="1471"/>
      <c r="M27" s="1471"/>
      <c r="N27" s="1471"/>
      <c r="O27" s="1471"/>
      <c r="P27" s="1471"/>
      <c r="Q27" s="1467"/>
    </row>
    <row r="28" spans="1:17" s="171" customFormat="1" ht="19.899999999999999" customHeight="1">
      <c r="A28" s="1506">
        <f>A26+1</f>
        <v>16</v>
      </c>
      <c r="B28" s="1507" t="s">
        <v>301</v>
      </c>
      <c r="C28" s="109" t="str">
        <f>VLOOKUP(B28,'ships name'!A:C,2,FALSE)</f>
        <v>AL RIFFA</v>
      </c>
      <c r="D28" s="1192"/>
      <c r="E28" s="1192"/>
      <c r="F28" s="1502" t="s">
        <v>302</v>
      </c>
      <c r="G28" s="1192"/>
      <c r="H28" s="1187"/>
      <c r="I28" s="1202">
        <f>I26+7</f>
        <v>42846</v>
      </c>
      <c r="J28" s="1485">
        <f>J26+7</f>
        <v>42847</v>
      </c>
      <c r="K28" s="1470">
        <f>J28+22</f>
        <v>42869</v>
      </c>
      <c r="L28" s="1470">
        <f>J28+23</f>
        <v>42870</v>
      </c>
      <c r="M28" s="1470">
        <f>J28+28</f>
        <v>42875</v>
      </c>
      <c r="N28" s="1470">
        <f>J28+31</f>
        <v>42878</v>
      </c>
      <c r="O28" s="1470">
        <f>J28+33</f>
        <v>42880</v>
      </c>
      <c r="P28" s="1470">
        <f>J28+24</f>
        <v>42871</v>
      </c>
      <c r="Q28" s="1466">
        <f>J28+44</f>
        <v>42891</v>
      </c>
    </row>
    <row r="29" spans="1:17" s="171" customFormat="1" ht="19.899999999999999" customHeight="1">
      <c r="A29" s="1505"/>
      <c r="B29" s="1507"/>
      <c r="C29" s="109" t="str">
        <f>VLOOKUP(B28,'ships name'!A:C,3,FALSE)</f>
        <v xml:space="preserve">  </v>
      </c>
      <c r="D29" s="1192"/>
      <c r="E29" s="1192"/>
      <c r="F29" s="1192"/>
      <c r="G29" s="1248"/>
      <c r="H29" s="1192"/>
      <c r="I29" s="1192"/>
      <c r="J29" s="1486"/>
      <c r="K29" s="1471"/>
      <c r="L29" s="1471"/>
      <c r="M29" s="1471"/>
      <c r="N29" s="1471"/>
      <c r="O29" s="1471"/>
      <c r="P29" s="1471"/>
      <c r="Q29" s="1467"/>
    </row>
    <row r="30" spans="1:17" s="171" customFormat="1" ht="19.899999999999999" customHeight="1">
      <c r="A30" s="1506">
        <f>A28+1</f>
        <v>17</v>
      </c>
      <c r="B30" s="1507"/>
      <c r="C30" s="109" t="e">
        <f>VLOOKUP(B30,'ships name'!A:C,2,FALSE)</f>
        <v>#N/A</v>
      </c>
      <c r="D30" s="1192"/>
      <c r="E30" s="1192"/>
      <c r="F30" s="1502"/>
      <c r="G30" s="1192"/>
      <c r="H30" s="1187"/>
      <c r="I30" s="1202">
        <f>I28+7</f>
        <v>42853</v>
      </c>
      <c r="J30" s="1485">
        <f>J28+7</f>
        <v>42854</v>
      </c>
      <c r="K30" s="1470">
        <f>J30+22</f>
        <v>42876</v>
      </c>
      <c r="L30" s="1470">
        <f>J30+23</f>
        <v>42877</v>
      </c>
      <c r="M30" s="1470">
        <f>J30+28</f>
        <v>42882</v>
      </c>
      <c r="N30" s="1470">
        <f>J30+31</f>
        <v>42885</v>
      </c>
      <c r="O30" s="1470">
        <f>J30+33</f>
        <v>42887</v>
      </c>
      <c r="P30" s="1470">
        <f>J30+24</f>
        <v>42878</v>
      </c>
      <c r="Q30" s="1466">
        <f>J30+44</f>
        <v>42898</v>
      </c>
    </row>
    <row r="31" spans="1:17" s="171" customFormat="1" ht="19.899999999999999" customHeight="1">
      <c r="A31" s="1505"/>
      <c r="B31" s="1507"/>
      <c r="C31" s="109" t="e">
        <f>VLOOKUP(B30,'ships name'!A:C,3,FALSE)</f>
        <v>#N/A</v>
      </c>
      <c r="D31" s="1192"/>
      <c r="E31" s="1192"/>
      <c r="F31" s="1192"/>
      <c r="G31" s="1248"/>
      <c r="H31" s="1192"/>
      <c r="I31" s="1192"/>
      <c r="J31" s="1486"/>
      <c r="K31" s="1471"/>
      <c r="L31" s="1471"/>
      <c r="M31" s="1471"/>
      <c r="N31" s="1471"/>
      <c r="O31" s="1471"/>
      <c r="P31" s="1471"/>
      <c r="Q31" s="1467"/>
    </row>
    <row r="32" spans="1:17" s="171" customFormat="1" ht="19.899999999999999" customHeight="1">
      <c r="A32" s="1506">
        <f>A30+1</f>
        <v>18</v>
      </c>
      <c r="B32" s="1248"/>
      <c r="C32" s="109" t="e">
        <f>VLOOKUP(B32,'ships name'!A:C,2,FALSE)</f>
        <v>#N/A</v>
      </c>
      <c r="D32" s="1192"/>
      <c r="E32" s="1192"/>
      <c r="F32" s="1502"/>
      <c r="G32" s="1192"/>
      <c r="H32" s="1187"/>
      <c r="I32" s="1187">
        <f>I30+7</f>
        <v>42860</v>
      </c>
      <c r="J32" s="1487">
        <f>J30+7</f>
        <v>42861</v>
      </c>
      <c r="K32" s="1461">
        <f>J32+22</f>
        <v>42883</v>
      </c>
      <c r="L32" s="1461">
        <f>J32+23</f>
        <v>42884</v>
      </c>
      <c r="M32" s="1461">
        <f>J32+28</f>
        <v>42889</v>
      </c>
      <c r="N32" s="1461">
        <f>J32+31</f>
        <v>42892</v>
      </c>
      <c r="O32" s="1461">
        <f>J32+33</f>
        <v>42894</v>
      </c>
      <c r="P32" s="1461">
        <f>J32+24</f>
        <v>42885</v>
      </c>
      <c r="Q32" s="1465">
        <f>J32+44</f>
        <v>42905</v>
      </c>
    </row>
    <row r="33" spans="1:17" s="171" customFormat="1" ht="19.899999999999999" customHeight="1">
      <c r="A33" s="1505"/>
      <c r="B33" s="1249"/>
      <c r="C33" s="111" t="e">
        <f>VLOOKUP(B32,'ships name'!A:C,3,FALSE)</f>
        <v>#N/A</v>
      </c>
      <c r="D33" s="1188"/>
      <c r="E33" s="1188"/>
      <c r="F33" s="1188"/>
      <c r="G33" s="1188"/>
      <c r="H33" s="1188"/>
      <c r="I33" s="1188"/>
      <c r="J33" s="1488"/>
      <c r="K33" s="1462"/>
      <c r="L33" s="1462"/>
      <c r="M33" s="1462"/>
      <c r="N33" s="1462"/>
      <c r="O33" s="1462"/>
      <c r="P33" s="1462"/>
      <c r="Q33" s="1468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38" t="s">
        <v>303</v>
      </c>
      <c r="B36" s="1239"/>
      <c r="C36" s="1239"/>
      <c r="D36" s="1179" t="str">
        <f>'EU1'!D6</f>
        <v>Terminal: CMICT</v>
      </c>
      <c r="E36" s="1179"/>
      <c r="F36" s="1179"/>
      <c r="G36" s="1179"/>
      <c r="H36" s="1179" t="str">
        <f>'EU1'!H6</f>
        <v>Agent: Xinggang</v>
      </c>
      <c r="I36" s="1179"/>
      <c r="J36" s="1179"/>
      <c r="K36" s="1179"/>
      <c r="L36" s="1180"/>
      <c r="M36" s="1515" t="s">
        <v>2</v>
      </c>
      <c r="N36" s="1515"/>
      <c r="O36" s="1516"/>
    </row>
    <row r="37" spans="1:17" s="103" customFormat="1" ht="19.899999999999999" hidden="1" customHeight="1">
      <c r="A37" s="1454" t="s">
        <v>3</v>
      </c>
      <c r="B37" s="1215" t="s">
        <v>4</v>
      </c>
      <c r="C37" s="1215" t="s">
        <v>5</v>
      </c>
      <c r="D37" s="1509" t="s">
        <v>6</v>
      </c>
      <c r="E37" s="1510"/>
      <c r="F37" s="1510"/>
      <c r="G37" s="1511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4"/>
      <c r="B38" s="1215"/>
      <c r="C38" s="1215"/>
      <c r="D38" s="1385" t="s">
        <v>121</v>
      </c>
      <c r="E38" s="1385" t="s">
        <v>142</v>
      </c>
      <c r="F38" s="1385" t="s">
        <v>122</v>
      </c>
      <c r="G38" s="1385" t="s">
        <v>143</v>
      </c>
      <c r="H38" s="109" t="s">
        <v>15</v>
      </c>
      <c r="I38" s="109" t="s">
        <v>16</v>
      </c>
      <c r="J38" s="194" t="s">
        <v>17</v>
      </c>
      <c r="K38" s="1479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5"/>
      <c r="B39" s="1216"/>
      <c r="C39" s="1216"/>
      <c r="D39" s="1216"/>
      <c r="E39" s="1216"/>
      <c r="F39" s="1216"/>
      <c r="G39" s="1216"/>
      <c r="H39" s="111" t="str">
        <f>'EU1'!H9</f>
        <v>2000 Fri</v>
      </c>
      <c r="I39" s="111">
        <f>'EU1'!I9</f>
        <v>0</v>
      </c>
      <c r="J39" s="197">
        <f>'EU1'!J9</f>
        <v>0</v>
      </c>
      <c r="K39" s="1480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4">
        <f>IA!A21</f>
        <v>31</v>
      </c>
      <c r="B40" s="1215" t="str">
        <f>'EU1'!B10</f>
        <v>CAG</v>
      </c>
      <c r="C40" s="178" t="str">
        <f>VLOOKUP(B40,'ships name'!A:C,2,FALSE)</f>
        <v>APL Changi</v>
      </c>
      <c r="D40" s="1215" t="str">
        <f>'EU1'!D10</f>
        <v>186E</v>
      </c>
      <c r="E40" s="1215">
        <f>'EU1'!E10</f>
        <v>0</v>
      </c>
      <c r="F40" s="1503" t="str">
        <f>'EU1'!F10</f>
        <v>187W</v>
      </c>
      <c r="G40" s="1215">
        <f>'EU1'!G10</f>
        <v>0</v>
      </c>
      <c r="H40" s="1209">
        <f>'EU1'!H10</f>
        <v>42833</v>
      </c>
      <c r="I40" s="1209">
        <f>'EU1'!I10</f>
        <v>42834</v>
      </c>
      <c r="J40" s="1352">
        <f>'EU1'!J10</f>
        <v>42834</v>
      </c>
      <c r="K40" s="1481" t="s">
        <v>72</v>
      </c>
      <c r="L40" s="1473">
        <f>J40+15</f>
        <v>42849</v>
      </c>
      <c r="M40" s="1202">
        <f>J40+33</f>
        <v>42867</v>
      </c>
      <c r="N40" s="1202">
        <f>M40+2</f>
        <v>42869</v>
      </c>
      <c r="O40" s="1185">
        <f>N40</f>
        <v>42869</v>
      </c>
    </row>
    <row r="41" spans="1:17" s="103" customFormat="1" ht="19.899999999999999" hidden="1" customHeight="1">
      <c r="A41" s="1226"/>
      <c r="B41" s="1251"/>
      <c r="C41" s="106" t="str">
        <f>VLOOKUP(B40,'ships name'!A:C,3,FALSE)</f>
        <v>美总樟宜</v>
      </c>
      <c r="D41" s="1251"/>
      <c r="E41" s="1251"/>
      <c r="F41" s="1251"/>
      <c r="G41" s="1251"/>
      <c r="H41" s="1202"/>
      <c r="I41" s="1202"/>
      <c r="J41" s="1489"/>
      <c r="K41" s="1479"/>
      <c r="L41" s="1474"/>
      <c r="M41" s="1187"/>
      <c r="N41" s="1187"/>
      <c r="O41" s="1189"/>
    </row>
    <row r="42" spans="1:17" s="103" customFormat="1" ht="19.899999999999999" hidden="1" customHeight="1">
      <c r="A42" s="1514">
        <f>IA!A23</f>
        <v>32</v>
      </c>
      <c r="B42" s="1248" t="str">
        <f>'EU1'!B12</f>
        <v>JLV</v>
      </c>
      <c r="C42" s="109" t="str">
        <f>VLOOKUP(B42,'ships name'!A:C,2,FALSE)</f>
        <v>CMA CGM JULES VERNE</v>
      </c>
      <c r="D42" s="1499" t="str">
        <f>'EU1'!D12</f>
        <v>188E</v>
      </c>
      <c r="E42" s="1499">
        <f>'EU1'!E12</f>
        <v>0</v>
      </c>
      <c r="F42" s="1499" t="str">
        <f>'EU1'!F12</f>
        <v>189W</v>
      </c>
      <c r="G42" s="1499">
        <f>'EU1'!G12</f>
        <v>0</v>
      </c>
      <c r="H42" s="1209">
        <f>'EU1'!H12</f>
        <v>42840</v>
      </c>
      <c r="I42" s="1209">
        <f>'EU1'!I12</f>
        <v>42841</v>
      </c>
      <c r="J42" s="1352">
        <f>'EU1'!J12</f>
        <v>42841</v>
      </c>
      <c r="K42" s="1481" t="s">
        <v>72</v>
      </c>
      <c r="L42" s="1473">
        <f>J42+15</f>
        <v>42856</v>
      </c>
      <c r="M42" s="1202">
        <f>J42+33</f>
        <v>42874</v>
      </c>
      <c r="N42" s="1202">
        <f>M42+2</f>
        <v>42876</v>
      </c>
      <c r="O42" s="1185">
        <f>N42</f>
        <v>42876</v>
      </c>
    </row>
    <row r="43" spans="1:17" s="103" customFormat="1" ht="19.899999999999999" hidden="1" customHeight="1">
      <c r="A43" s="1226"/>
      <c r="B43" s="1230"/>
      <c r="C43" s="109" t="str">
        <f>VLOOKUP(B42,'ships name'!A:C,3,FALSE)</f>
        <v>达飞凡尔纳</v>
      </c>
      <c r="D43" s="1230"/>
      <c r="E43" s="1230"/>
      <c r="F43" s="1230"/>
      <c r="G43" s="1230"/>
      <c r="H43" s="1202"/>
      <c r="I43" s="1202"/>
      <c r="J43" s="1489"/>
      <c r="K43" s="1479"/>
      <c r="L43" s="1474"/>
      <c r="M43" s="1187"/>
      <c r="N43" s="1187"/>
      <c r="O43" s="1189"/>
    </row>
    <row r="44" spans="1:17" s="103" customFormat="1" ht="19.899999999999999" hidden="1" customHeight="1">
      <c r="A44" s="1514">
        <f>IA!A25</f>
        <v>33</v>
      </c>
      <c r="B44" s="1508" t="str">
        <f>'EU1'!B14</f>
        <v>FOS</v>
      </c>
      <c r="C44" s="179" t="str">
        <f>VLOOKUP(B44,'ships name'!A:C,2,FALSE)</f>
        <v>CMA CGM GEORG FORSTER</v>
      </c>
      <c r="D44" s="1500" t="str">
        <f>'EU1'!D14</f>
        <v>012E</v>
      </c>
      <c r="E44" s="1500">
        <f>'EU1'!E14</f>
        <v>0</v>
      </c>
      <c r="F44" s="1500" t="str">
        <f>'EU1'!F14</f>
        <v>013W</v>
      </c>
      <c r="G44" s="1500">
        <f>'EU1'!G14</f>
        <v>0</v>
      </c>
      <c r="H44" s="1253">
        <f>'EU1'!H14</f>
        <v>42847</v>
      </c>
      <c r="I44" s="1253">
        <f>'EU1'!I14</f>
        <v>42848</v>
      </c>
      <c r="J44" s="1490">
        <f>'EU1'!J14</f>
        <v>42848</v>
      </c>
      <c r="K44" s="1482" t="s">
        <v>72</v>
      </c>
      <c r="L44" s="1475">
        <f>J44+15</f>
        <v>42863</v>
      </c>
      <c r="M44" s="1195">
        <f>J44+33</f>
        <v>42881</v>
      </c>
      <c r="N44" s="1195">
        <f>M44+2</f>
        <v>42883</v>
      </c>
      <c r="O44" s="1127">
        <f>N44</f>
        <v>42883</v>
      </c>
    </row>
    <row r="45" spans="1:17" s="103" customFormat="1" ht="19.899999999999999" hidden="1" customHeight="1">
      <c r="A45" s="1226"/>
      <c r="B45" s="1322"/>
      <c r="C45" s="179" t="str">
        <f>VLOOKUP(B44,'ships name'!A:C,3,FALSE)</f>
        <v>达飞乔致福斯特</v>
      </c>
      <c r="D45" s="1322"/>
      <c r="E45" s="1322"/>
      <c r="F45" s="1322"/>
      <c r="G45" s="1322"/>
      <c r="H45" s="1195"/>
      <c r="I45" s="1195"/>
      <c r="J45" s="1491"/>
      <c r="K45" s="1483"/>
      <c r="L45" s="1476"/>
      <c r="M45" s="1181"/>
      <c r="N45" s="1181"/>
      <c r="O45" s="1166"/>
    </row>
    <row r="46" spans="1:17" s="103" customFormat="1" ht="19.899999999999999" hidden="1" customHeight="1">
      <c r="A46" s="1514">
        <f>IA!A27</f>
        <v>34</v>
      </c>
      <c r="B46" s="1248" t="str">
        <f>'EU1'!B16</f>
        <v>CGR</v>
      </c>
      <c r="C46" s="109" t="str">
        <f>VLOOKUP(B46,'ships name'!A:C,2,FALSE)</f>
        <v>CMA CGM CORTE REAL</v>
      </c>
      <c r="D46" s="1248" t="str">
        <f>'EU1'!D16</f>
        <v>013E</v>
      </c>
      <c r="E46" s="1248">
        <f>'EU1'!E16</f>
        <v>0</v>
      </c>
      <c r="F46" s="1248" t="str">
        <f>'EU1'!F16</f>
        <v>014W</v>
      </c>
      <c r="G46" s="1248">
        <f>'EU1'!G16</f>
        <v>0</v>
      </c>
      <c r="H46" s="1122">
        <f>'EU1'!H16</f>
        <v>42854</v>
      </c>
      <c r="I46" s="1122">
        <f>'EU1'!I16</f>
        <v>42855</v>
      </c>
      <c r="J46" s="1492">
        <f>'EU1'!J16</f>
        <v>42855</v>
      </c>
      <c r="K46" s="1481" t="s">
        <v>72</v>
      </c>
      <c r="L46" s="1473">
        <f>J46+15</f>
        <v>42870</v>
      </c>
      <c r="M46" s="1202">
        <f>J46+33</f>
        <v>42888</v>
      </c>
      <c r="N46" s="1202">
        <f>M46+2</f>
        <v>42890</v>
      </c>
      <c r="O46" s="1185">
        <f>N46</f>
        <v>42890</v>
      </c>
    </row>
    <row r="47" spans="1:17" s="103" customFormat="1" ht="19.899999999999999" hidden="1" customHeight="1">
      <c r="A47" s="1226"/>
      <c r="B47" s="1230"/>
      <c r="C47" s="109" t="str">
        <f>VLOOKUP(B46,'ships name'!A:C,3,FALSE)</f>
        <v>达飞卡瑞尔</v>
      </c>
      <c r="D47" s="1230"/>
      <c r="E47" s="1230"/>
      <c r="F47" s="1230"/>
      <c r="G47" s="1230"/>
      <c r="H47" s="1202"/>
      <c r="I47" s="1202"/>
      <c r="J47" s="1489"/>
      <c r="K47" s="1479"/>
      <c r="L47" s="1474"/>
      <c r="M47" s="1187"/>
      <c r="N47" s="1187"/>
      <c r="O47" s="1189"/>
    </row>
    <row r="48" spans="1:17" s="103" customFormat="1" ht="19.899999999999999" hidden="1" customHeight="1">
      <c r="A48" s="1514">
        <f>IA!A29</f>
        <v>35</v>
      </c>
      <c r="B48" s="1248" t="str">
        <f>'EU1'!B18</f>
        <v>BGV</v>
      </c>
      <c r="C48" s="109" t="str">
        <f>VLOOKUP(B48,'ships name'!A:C,2,FALSE)</f>
        <v>CMA CGM BOUGAINVILLE</v>
      </c>
      <c r="D48" s="1248" t="str">
        <f>'EU1'!D18</f>
        <v>016E</v>
      </c>
      <c r="E48" s="1248">
        <f>'EU1'!E18</f>
        <v>0</v>
      </c>
      <c r="F48" s="1248" t="str">
        <f>'EU1'!F18</f>
        <v>017W</v>
      </c>
      <c r="G48" s="1248">
        <f>'EU1'!G18</f>
        <v>0</v>
      </c>
      <c r="H48" s="1122">
        <f>'EU1'!H18</f>
        <v>42861</v>
      </c>
      <c r="I48" s="1122">
        <f>'EU1'!I18</f>
        <v>42862</v>
      </c>
      <c r="J48" s="1492">
        <f>'EU1'!J18</f>
        <v>42862</v>
      </c>
      <c r="K48" s="1484" t="s">
        <v>72</v>
      </c>
      <c r="L48" s="1477">
        <f>J48+15</f>
        <v>42877</v>
      </c>
      <c r="M48" s="1187">
        <f>J48+33</f>
        <v>42895</v>
      </c>
      <c r="N48" s="1187">
        <f>M48+2</f>
        <v>42897</v>
      </c>
      <c r="O48" s="1189">
        <f>N48</f>
        <v>42897</v>
      </c>
    </row>
    <row r="49" spans="1:20" ht="19.899999999999999" hidden="1" customHeight="1">
      <c r="A49" s="1455"/>
      <c r="B49" s="1249"/>
      <c r="C49" s="111" t="str">
        <f>VLOOKUP(B48,'ships name'!A:C,3,FALSE)</f>
        <v>达飞布甘维尔</v>
      </c>
      <c r="D49" s="1249"/>
      <c r="E49" s="1249"/>
      <c r="F49" s="1249"/>
      <c r="G49" s="1249"/>
      <c r="H49" s="1123"/>
      <c r="I49" s="1123"/>
      <c r="J49" s="1493"/>
      <c r="K49" s="1480"/>
      <c r="L49" s="1478"/>
      <c r="M49" s="1472"/>
      <c r="N49" s="1472"/>
      <c r="O49" s="1191"/>
    </row>
    <row r="50" spans="1:20" ht="19.899999999999999" customHeight="1"/>
    <row r="51" spans="1:20" ht="19.899999999999999" customHeight="1"/>
    <row r="52" spans="1:20" s="100" customFormat="1" ht="25.9" customHeight="1">
      <c r="A52" s="1238" t="s">
        <v>312</v>
      </c>
      <c r="B52" s="1239"/>
      <c r="C52" s="1239"/>
      <c r="D52" s="1179" t="s">
        <v>313</v>
      </c>
      <c r="E52" s="1179"/>
      <c r="F52" s="1179"/>
      <c r="G52" s="1179"/>
      <c r="H52" s="1179" t="s">
        <v>314</v>
      </c>
      <c r="I52" s="1179"/>
      <c r="J52" s="1179"/>
      <c r="K52" s="1517" t="s">
        <v>2</v>
      </c>
      <c r="L52" s="1515"/>
      <c r="M52" s="1515"/>
      <c r="N52" s="1515"/>
      <c r="O52" s="1516"/>
      <c r="P52" s="200"/>
      <c r="Q52" s="204"/>
      <c r="R52" s="204"/>
      <c r="S52" s="205"/>
      <c r="T52" s="206"/>
    </row>
    <row r="53" spans="1:20" s="103" customFormat="1" ht="19.899999999999999" customHeight="1">
      <c r="A53" s="1454" t="s">
        <v>3</v>
      </c>
      <c r="B53" s="1215" t="s">
        <v>4</v>
      </c>
      <c r="C53" s="1215" t="s">
        <v>5</v>
      </c>
      <c r="D53" s="1509" t="s">
        <v>6</v>
      </c>
      <c r="E53" s="1510"/>
      <c r="F53" s="1510"/>
      <c r="G53" s="1511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4"/>
      <c r="B54" s="1215"/>
      <c r="C54" s="1215"/>
      <c r="D54" s="1385" t="s">
        <v>121</v>
      </c>
      <c r="E54" s="1385" t="s">
        <v>190</v>
      </c>
      <c r="F54" s="1385" t="s">
        <v>122</v>
      </c>
      <c r="G54" s="1385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5"/>
      <c r="B55" s="1216"/>
      <c r="C55" s="1216"/>
      <c r="D55" s="1216"/>
      <c r="E55" s="1216"/>
      <c r="F55" s="1216"/>
      <c r="G55" s="1216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4">
        <v>14</v>
      </c>
      <c r="B56" s="1215" t="s">
        <v>324</v>
      </c>
      <c r="C56" s="178" t="str">
        <f>VLOOKUP(B56,'ships name'!A:C,2,FALSE)</f>
        <v>CMA CGM ARKANSAS</v>
      </c>
      <c r="D56" s="1496" t="s">
        <v>197</v>
      </c>
      <c r="E56" s="1496" t="s">
        <v>197</v>
      </c>
      <c r="F56" s="1496" t="s">
        <v>325</v>
      </c>
      <c r="G56" s="1496" t="str">
        <f>LEFT(F56,3)&amp;"BXW"</f>
        <v>205BXW</v>
      </c>
      <c r="H56" s="1497">
        <f>I56-1</f>
        <v>42830</v>
      </c>
      <c r="I56" s="1463">
        <f>J56-1</f>
        <v>42831</v>
      </c>
      <c r="J56" s="1463">
        <v>42832</v>
      </c>
      <c r="K56" s="1463"/>
      <c r="L56" s="1463">
        <f>J56+26</f>
        <v>42858</v>
      </c>
      <c r="M56" s="1463">
        <f>J56+28</f>
        <v>42860</v>
      </c>
      <c r="N56" s="1463">
        <f>J56+31</f>
        <v>42863</v>
      </c>
      <c r="O56" s="1459">
        <f>J56+33</f>
        <v>42865</v>
      </c>
      <c r="P56" s="1463">
        <f>J56+21</f>
        <v>42853</v>
      </c>
      <c r="Q56" s="1463">
        <f>J56+23</f>
        <v>42855</v>
      </c>
      <c r="R56" s="1459">
        <f>J56+28</f>
        <v>42860</v>
      </c>
      <c r="S56" s="1460">
        <f>J56+29</f>
        <v>42861</v>
      </c>
    </row>
    <row r="57" spans="1:20" s="103" customFormat="1" ht="19.899999999999999" customHeight="1">
      <c r="A57" s="1505"/>
      <c r="B57" s="1251"/>
      <c r="C57" s="106" t="str">
        <f>VLOOKUP(B56,'ships name'!A:C,3,FALSE)</f>
        <v>达飞阿肯色</v>
      </c>
      <c r="D57" s="1206"/>
      <c r="E57" s="1206"/>
      <c r="F57" s="1206"/>
      <c r="G57" s="1206"/>
      <c r="H57" s="1494"/>
      <c r="I57" s="1187"/>
      <c r="J57" s="1187"/>
      <c r="K57" s="1187"/>
      <c r="L57" s="1187"/>
      <c r="M57" s="1187"/>
      <c r="N57" s="1187"/>
      <c r="O57" s="1189"/>
      <c r="P57" s="1187"/>
      <c r="Q57" s="1187"/>
      <c r="R57" s="1189"/>
      <c r="S57" s="1164"/>
    </row>
    <row r="58" spans="1:20" s="103" customFormat="1" ht="19.899999999999999" customHeight="1">
      <c r="A58" s="1506">
        <v>15</v>
      </c>
      <c r="B58" s="1248" t="s">
        <v>2895</v>
      </c>
      <c r="C58" s="109" t="str">
        <f>VLOOKUP(B58,'ships name'!A:C,2,FALSE)</f>
        <v>VANTAGE</v>
      </c>
      <c r="D58" s="1187" t="s">
        <v>197</v>
      </c>
      <c r="E58" s="1187" t="s">
        <v>197</v>
      </c>
      <c r="F58" s="1187" t="str">
        <f>LEFT(F56,3)+2&amp;"W"</f>
        <v>207W</v>
      </c>
      <c r="G58" s="1187" t="str">
        <f>LEFT(F58,3)&amp;"BXW"</f>
        <v>207BXW</v>
      </c>
      <c r="H58" s="1494">
        <f>H56+7</f>
        <v>42837</v>
      </c>
      <c r="I58" s="1187">
        <f>I56+7</f>
        <v>42838</v>
      </c>
      <c r="J58" s="1187">
        <f>J56+7</f>
        <v>42839</v>
      </c>
      <c r="K58" s="1187"/>
      <c r="L58" s="1463">
        <f>J58+26</f>
        <v>42865</v>
      </c>
      <c r="M58" s="1463">
        <f>J58+28</f>
        <v>42867</v>
      </c>
      <c r="N58" s="1463">
        <f>J58+31</f>
        <v>42870</v>
      </c>
      <c r="O58" s="1459">
        <f>J58+33</f>
        <v>42872</v>
      </c>
      <c r="P58" s="1463">
        <f>J58+21</f>
        <v>42860</v>
      </c>
      <c r="Q58" s="1463">
        <f>J58+23</f>
        <v>42862</v>
      </c>
      <c r="R58" s="1459">
        <f>J58+28</f>
        <v>42867</v>
      </c>
      <c r="S58" s="1460">
        <f>J58+29</f>
        <v>42868</v>
      </c>
    </row>
    <row r="59" spans="1:20" s="103" customFormat="1" ht="19.899999999999999" customHeight="1">
      <c r="A59" s="1505"/>
      <c r="B59" s="1230"/>
      <c r="C59" s="109" t="str">
        <f>VLOOKUP(B58,'ships name'!A:C,3,FALSE)</f>
        <v xml:space="preserve"> </v>
      </c>
      <c r="D59" s="1187"/>
      <c r="E59" s="1187"/>
      <c r="F59" s="1187"/>
      <c r="G59" s="1187"/>
      <c r="H59" s="1494"/>
      <c r="I59" s="1187"/>
      <c r="J59" s="1187"/>
      <c r="K59" s="1187"/>
      <c r="L59" s="1187"/>
      <c r="M59" s="1187"/>
      <c r="N59" s="1187"/>
      <c r="O59" s="1189"/>
      <c r="P59" s="1187"/>
      <c r="Q59" s="1187"/>
      <c r="R59" s="1189"/>
      <c r="S59" s="1164"/>
    </row>
    <row r="60" spans="1:20" s="103" customFormat="1" ht="19.899999999999999" customHeight="1">
      <c r="A60" s="1506">
        <v>16</v>
      </c>
      <c r="B60" s="1248" t="s">
        <v>2372</v>
      </c>
      <c r="C60" s="109" t="str">
        <f>VLOOKUP(B60,'ships name'!A:C,2,FALSE)</f>
        <v>CMA CGM URAL</v>
      </c>
      <c r="D60" s="1187" t="s">
        <v>197</v>
      </c>
      <c r="E60" s="1187" t="s">
        <v>197</v>
      </c>
      <c r="F60" s="1187" t="str">
        <f>LEFT(F58,3)+2&amp;"W"</f>
        <v>209W</v>
      </c>
      <c r="G60" s="1187" t="str">
        <f>LEFT(F60,3)&amp;"BXW"</f>
        <v>209BXW</v>
      </c>
      <c r="H60" s="1494">
        <f>H58+7</f>
        <v>42844</v>
      </c>
      <c r="I60" s="1187">
        <f>I58+7</f>
        <v>42845</v>
      </c>
      <c r="J60" s="1187">
        <f>J58+7</f>
        <v>42846</v>
      </c>
      <c r="K60" s="1187"/>
      <c r="L60" s="1463">
        <f>J60+26</f>
        <v>42872</v>
      </c>
      <c r="M60" s="1463">
        <f>J60+28</f>
        <v>42874</v>
      </c>
      <c r="N60" s="1463">
        <f>J60+31</f>
        <v>42877</v>
      </c>
      <c r="O60" s="1459">
        <f>J60+33</f>
        <v>42879</v>
      </c>
      <c r="P60" s="1463">
        <f>J60+21</f>
        <v>42867</v>
      </c>
      <c r="Q60" s="1463">
        <f>J60+23</f>
        <v>42869</v>
      </c>
      <c r="R60" s="1459">
        <f>J60+28</f>
        <v>42874</v>
      </c>
      <c r="S60" s="1460">
        <f>J60+29</f>
        <v>42875</v>
      </c>
    </row>
    <row r="61" spans="1:20" s="103" customFormat="1" ht="19.899999999999999" customHeight="1">
      <c r="A61" s="1505"/>
      <c r="B61" s="1230"/>
      <c r="C61" s="109" t="str">
        <f>VLOOKUP(B60,'ships name'!A:C,3,FALSE)</f>
        <v>达飞乌拉尔</v>
      </c>
      <c r="D61" s="1187"/>
      <c r="E61" s="1187"/>
      <c r="F61" s="1187"/>
      <c r="G61" s="1187"/>
      <c r="H61" s="1494"/>
      <c r="I61" s="1187"/>
      <c r="J61" s="1187"/>
      <c r="K61" s="1187"/>
      <c r="L61" s="1187"/>
      <c r="M61" s="1187"/>
      <c r="N61" s="1187"/>
      <c r="O61" s="1189"/>
      <c r="P61" s="1187"/>
      <c r="Q61" s="1187"/>
      <c r="R61" s="1189"/>
      <c r="S61" s="1164"/>
    </row>
    <row r="62" spans="1:20" s="103" customFormat="1" ht="19.899999999999999" customHeight="1">
      <c r="A62" s="1506">
        <v>17</v>
      </c>
      <c r="B62" s="1248" t="s">
        <v>2919</v>
      </c>
      <c r="C62" s="109" t="str">
        <f>VLOOKUP(B62,'ships name'!A:C,2,FALSE)</f>
        <v>COSCO DANUBE</v>
      </c>
      <c r="D62" s="1192" t="s">
        <v>197</v>
      </c>
      <c r="E62" s="1192" t="s">
        <v>197</v>
      </c>
      <c r="F62" s="1187" t="str">
        <f>LEFT(F60,3)+2&amp;"W"</f>
        <v>211W</v>
      </c>
      <c r="G62" s="1192" t="str">
        <f>LEFT(F62,3)&amp;"BXW"</f>
        <v>211BXW</v>
      </c>
      <c r="H62" s="1494">
        <f>H60+7</f>
        <v>42851</v>
      </c>
      <c r="I62" s="1187">
        <f>I60+7</f>
        <v>42852</v>
      </c>
      <c r="J62" s="1187">
        <f>J60+7</f>
        <v>42853</v>
      </c>
      <c r="K62" s="1187"/>
      <c r="L62" s="1463">
        <f>J62+26</f>
        <v>42879</v>
      </c>
      <c r="M62" s="1463">
        <f>J62+28</f>
        <v>42881</v>
      </c>
      <c r="N62" s="1463">
        <f>J62+31</f>
        <v>42884</v>
      </c>
      <c r="O62" s="1459">
        <f>J62+33</f>
        <v>42886</v>
      </c>
      <c r="P62" s="1463">
        <f>J62+21</f>
        <v>42874</v>
      </c>
      <c r="Q62" s="1463">
        <f>J62+23</f>
        <v>42876</v>
      </c>
      <c r="R62" s="1459">
        <f>J62+28</f>
        <v>42881</v>
      </c>
      <c r="S62" s="1460">
        <f>J62+29</f>
        <v>42882</v>
      </c>
    </row>
    <row r="63" spans="1:20" s="103" customFormat="1" ht="19.899999999999999" customHeight="1">
      <c r="A63" s="1505"/>
      <c r="B63" s="1230"/>
      <c r="C63" s="109" t="str">
        <f>VLOOKUP(B62,'ships name'!A:C,3,FALSE)</f>
        <v xml:space="preserve">  </v>
      </c>
      <c r="D63" s="1192"/>
      <c r="E63" s="1192"/>
      <c r="F63" s="1187"/>
      <c r="G63" s="1192"/>
      <c r="H63" s="1494"/>
      <c r="I63" s="1187"/>
      <c r="J63" s="1187"/>
      <c r="K63" s="1187"/>
      <c r="L63" s="1187"/>
      <c r="M63" s="1187"/>
      <c r="N63" s="1187"/>
      <c r="O63" s="1189"/>
      <c r="P63" s="1187"/>
      <c r="Q63" s="1187"/>
      <c r="R63" s="1189"/>
      <c r="S63" s="1164"/>
    </row>
    <row r="64" spans="1:20" s="103" customFormat="1" ht="19.899999999999999" customHeight="1">
      <c r="A64" s="1506">
        <v>18</v>
      </c>
      <c r="B64" s="1248"/>
      <c r="C64" s="109" t="e">
        <f>VLOOKUP(B64,'ships name'!A:C,2,FALSE)</f>
        <v>#N/A</v>
      </c>
      <c r="D64" s="1192" t="s">
        <v>197</v>
      </c>
      <c r="E64" s="1192" t="s">
        <v>197</v>
      </c>
      <c r="F64" s="1187" t="str">
        <f>LEFT(F62,3)+2&amp;"W"</f>
        <v>213W</v>
      </c>
      <c r="G64" s="1192" t="str">
        <f>LEFT(F64,3)&amp;"BXW"</f>
        <v>213BXW</v>
      </c>
      <c r="H64" s="1494">
        <f>H62+7</f>
        <v>42858</v>
      </c>
      <c r="I64" s="1187">
        <f>I62+7</f>
        <v>42859</v>
      </c>
      <c r="J64" s="1187">
        <f>J62+7</f>
        <v>42860</v>
      </c>
      <c r="K64" s="1187"/>
      <c r="L64" s="1463">
        <f>J64+26</f>
        <v>42886</v>
      </c>
      <c r="M64" s="1463">
        <f>J64+28</f>
        <v>42888</v>
      </c>
      <c r="N64" s="1463">
        <f>J64+31</f>
        <v>42891</v>
      </c>
      <c r="O64" s="1459">
        <f>J64+33</f>
        <v>42893</v>
      </c>
      <c r="P64" s="1463">
        <f>J64+21</f>
        <v>42881</v>
      </c>
      <c r="Q64" s="1463">
        <f>J64+23</f>
        <v>42883</v>
      </c>
      <c r="R64" s="1459">
        <f>J64+28</f>
        <v>42888</v>
      </c>
      <c r="S64" s="1460">
        <f>J64+29</f>
        <v>42889</v>
      </c>
    </row>
    <row r="65" spans="1:19" ht="19.899999999999999" customHeight="1">
      <c r="A65" s="1505"/>
      <c r="B65" s="1249"/>
      <c r="C65" s="111" t="e">
        <f>VLOOKUP(B64,'ships name'!A:C,3,FALSE)</f>
        <v>#N/A</v>
      </c>
      <c r="D65" s="1188"/>
      <c r="E65" s="1188"/>
      <c r="F65" s="1472"/>
      <c r="G65" s="1192"/>
      <c r="H65" s="1495"/>
      <c r="I65" s="1472"/>
      <c r="J65" s="1472"/>
      <c r="K65" s="1472"/>
      <c r="L65" s="1187"/>
      <c r="M65" s="1187"/>
      <c r="N65" s="1187"/>
      <c r="O65" s="1189"/>
      <c r="P65" s="1187"/>
      <c r="Q65" s="1187"/>
      <c r="R65" s="1189"/>
      <c r="S65" s="1164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N18" sqref="N18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3" t="s">
        <v>0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</row>
    <row r="3" spans="1:16" ht="28.15" customHeight="1">
      <c r="A3" s="1534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</row>
    <row r="4" spans="1:16" ht="28.15" customHeight="1">
      <c r="A4" s="1533" t="str">
        <f>TPWC!A4</f>
        <v>2019年06月船期表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235" t="s">
        <v>274</v>
      </c>
      <c r="B6" s="1236"/>
      <c r="C6" s="1236"/>
      <c r="D6" s="1016"/>
      <c r="E6" s="1522" t="s">
        <v>4255</v>
      </c>
      <c r="F6" s="1522"/>
      <c r="G6" s="1522"/>
      <c r="H6" s="1522" t="s">
        <v>3194</v>
      </c>
      <c r="I6" s="1522"/>
      <c r="J6" s="1523"/>
      <c r="K6" s="1535" t="s">
        <v>2</v>
      </c>
      <c r="L6" s="1535"/>
      <c r="M6" s="1535"/>
      <c r="N6" s="1535"/>
      <c r="O6" s="1535"/>
      <c r="P6" s="1184"/>
    </row>
    <row r="7" spans="1:16" s="273" customFormat="1" ht="19.899999999999999" customHeight="1">
      <c r="A7" s="1223" t="s">
        <v>3</v>
      </c>
      <c r="B7" s="1206" t="s">
        <v>4</v>
      </c>
      <c r="C7" s="1206" t="s">
        <v>5</v>
      </c>
      <c r="D7" s="1251" t="s">
        <v>4291</v>
      </c>
      <c r="E7" s="1509" t="s">
        <v>6</v>
      </c>
      <c r="F7" s="1510"/>
      <c r="G7" s="1511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23"/>
      <c r="B8" s="1206"/>
      <c r="C8" s="1206"/>
      <c r="D8" s="1427"/>
      <c r="E8" s="1385" t="s">
        <v>13</v>
      </c>
      <c r="F8" s="1450" t="s">
        <v>14</v>
      </c>
      <c r="G8" s="1451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24"/>
      <c r="B9" s="1207"/>
      <c r="C9" s="1207"/>
      <c r="D9" s="1428"/>
      <c r="E9" s="1216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4839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4844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4840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4845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4841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4846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4842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4847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4843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4848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5" t="s">
        <v>286</v>
      </c>
      <c r="B16" s="1236"/>
      <c r="C16" s="1236"/>
      <c r="D16" s="1016"/>
      <c r="E16" s="1522" t="s">
        <v>3202</v>
      </c>
      <c r="F16" s="1522"/>
      <c r="G16" s="1522"/>
      <c r="H16" s="1522" t="s">
        <v>3194</v>
      </c>
      <c r="I16" s="1522"/>
      <c r="J16" s="1523"/>
      <c r="K16" s="1530" t="s">
        <v>2</v>
      </c>
      <c r="L16" s="1531"/>
      <c r="M16" s="1531"/>
      <c r="N16" s="1531"/>
      <c r="O16" s="1531"/>
      <c r="P16" s="1532"/>
    </row>
    <row r="17" spans="1:19" s="273" customFormat="1" ht="19.899999999999999" customHeight="1">
      <c r="A17" s="1225" t="s">
        <v>3</v>
      </c>
      <c r="B17" s="1496" t="s">
        <v>4</v>
      </c>
      <c r="C17" s="1496" t="s">
        <v>5</v>
      </c>
      <c r="D17" s="1251" t="s">
        <v>4291</v>
      </c>
      <c r="E17" s="1509" t="s">
        <v>6</v>
      </c>
      <c r="F17" s="1510"/>
      <c r="G17" s="1511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23"/>
      <c r="B18" s="1206"/>
      <c r="C18" s="1206"/>
      <c r="D18" s="1427"/>
      <c r="E18" s="1385" t="s">
        <v>13</v>
      </c>
      <c r="F18" s="1450" t="s">
        <v>14</v>
      </c>
      <c r="G18" s="1451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24"/>
      <c r="B19" s="1207"/>
      <c r="C19" s="1207"/>
      <c r="D19" s="1428"/>
      <c r="E19" s="1216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4545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4546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4849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4853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4850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4854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4851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4855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4852</v>
      </c>
      <c r="C24" s="1003" t="str">
        <f>VLOOKUP(LEFT(B24,3),'ships name'!A:C,2,FALSE)</f>
        <v xml:space="preserve">COSCO NETHERLANDS </v>
      </c>
      <c r="D24" s="1011" t="str">
        <f>VLOOKUP(LEFT(B24,3),'ships name'!A:C,3,FALSE)</f>
        <v>中远荷兰</v>
      </c>
      <c r="E24" s="1003" t="str">
        <f t="shared" ref="E24" si="9">0&amp;LEFT(F24,3)-1&amp;"E"</f>
        <v>071E</v>
      </c>
      <c r="F24" s="1003" t="str">
        <f>RIGHT(B24,3)&amp;"W"</f>
        <v>072W</v>
      </c>
      <c r="G24" s="1003" t="s">
        <v>4856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235" t="s">
        <v>312</v>
      </c>
      <c r="B26" s="1236"/>
      <c r="C26" s="1236"/>
      <c r="D26" s="1016"/>
      <c r="E26" s="1522" t="s">
        <v>3202</v>
      </c>
      <c r="F26" s="1522"/>
      <c r="G26" s="1522"/>
      <c r="H26" s="1522" t="s">
        <v>152</v>
      </c>
      <c r="I26" s="1522"/>
      <c r="J26" s="1523"/>
      <c r="K26" s="1527" t="s">
        <v>2</v>
      </c>
      <c r="L26" s="1528"/>
      <c r="M26" s="1528"/>
      <c r="N26" s="1528"/>
      <c r="O26" s="1528"/>
      <c r="P26" s="1528"/>
      <c r="Q26" s="1528"/>
      <c r="R26" s="1529"/>
      <c r="S26" s="1045"/>
    </row>
    <row r="27" spans="1:19" s="273" customFormat="1" ht="19.899999999999999" customHeight="1">
      <c r="A27" s="1223" t="s">
        <v>3</v>
      </c>
      <c r="B27" s="1206" t="s">
        <v>4</v>
      </c>
      <c r="C27" s="1206" t="s">
        <v>5</v>
      </c>
      <c r="D27" s="1251" t="s">
        <v>4291</v>
      </c>
      <c r="E27" s="1509" t="s">
        <v>6</v>
      </c>
      <c r="F27" s="1510"/>
      <c r="G27" s="1511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23"/>
      <c r="B28" s="1206"/>
      <c r="C28" s="1206"/>
      <c r="D28" s="1427"/>
      <c r="E28" s="1385" t="s">
        <v>13</v>
      </c>
      <c r="F28" s="1450" t="s">
        <v>14</v>
      </c>
      <c r="G28" s="1451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24"/>
      <c r="B29" s="1207"/>
      <c r="C29" s="1207"/>
      <c r="D29" s="1428"/>
      <c r="E29" s="1216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4857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:F34" si="10">RIGHT(B30,3)&amp;"W"</f>
        <v>011W</v>
      </c>
      <c r="G30" s="1013" t="s">
        <v>4862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4858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0:F34" si="12">LEFT(G31,6)</f>
        <v>0BX3VW</v>
      </c>
      <c r="G31" s="1013" t="s">
        <v>4863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4859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4864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4860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4865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4861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4866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235" t="s">
        <v>3213</v>
      </c>
      <c r="B36" s="1236"/>
      <c r="C36" s="1236"/>
      <c r="D36" s="1016"/>
      <c r="E36" s="1522" t="s">
        <v>3214</v>
      </c>
      <c r="F36" s="1522"/>
      <c r="G36" s="1522"/>
      <c r="H36" s="1522" t="s">
        <v>3194</v>
      </c>
      <c r="I36" s="1522"/>
      <c r="J36" s="1523"/>
      <c r="K36" s="1524" t="s">
        <v>2</v>
      </c>
      <c r="L36" s="1525"/>
      <c r="M36" s="1525"/>
      <c r="N36" s="1525"/>
      <c r="O36" s="1525"/>
      <c r="P36" s="1525"/>
      <c r="Q36" s="1526"/>
      <c r="R36" s="1045"/>
    </row>
    <row r="37" spans="1:18" s="273" customFormat="1" ht="19.899999999999999" customHeight="1">
      <c r="A37" s="1223" t="s">
        <v>3</v>
      </c>
      <c r="B37" s="1206" t="s">
        <v>4</v>
      </c>
      <c r="C37" s="1206" t="s">
        <v>5</v>
      </c>
      <c r="D37" s="1251" t="s">
        <v>4291</v>
      </c>
      <c r="E37" s="1509" t="s">
        <v>6</v>
      </c>
      <c r="F37" s="1510"/>
      <c r="G37" s="1511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23"/>
      <c r="B38" s="1206"/>
      <c r="C38" s="1206"/>
      <c r="D38" s="1427"/>
      <c r="E38" s="1385" t="s">
        <v>13</v>
      </c>
      <c r="F38" s="1450" t="s">
        <v>14</v>
      </c>
      <c r="G38" s="1451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24"/>
      <c r="B39" s="1207"/>
      <c r="C39" s="1207"/>
      <c r="D39" s="1428"/>
      <c r="E39" s="1216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4867</v>
      </c>
      <c r="C40" s="1018" t="str">
        <f>VLOOKUP(LEFT(B40,3),'ships name'!A:C,2,FALSE)</f>
        <v>PUCON</v>
      </c>
      <c r="D40" s="1010" t="str">
        <f>VLOOKUP(LEFT(B40,3),'ships name'!A:C,3,FALSE)</f>
        <v xml:space="preserve">  </v>
      </c>
      <c r="E40" s="1027" t="s">
        <v>197</v>
      </c>
      <c r="F40" s="1078" t="str">
        <f t="shared" ref="F40:F43" si="18">LEFT(G40,6)</f>
        <v>0BE3RW</v>
      </c>
      <c r="G40" s="1004" t="s">
        <v>4872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4868</v>
      </c>
      <c r="C41" s="1003" t="e">
        <f>VLOOKUP(LEFT(B41,3),'ships name'!A:C,2,FALSE)</f>
        <v>#N/A</v>
      </c>
      <c r="D41" s="1011" t="e">
        <f>VLOOKUP(LEFT(B41,3),'ships name'!A:C,3,FALSE)</f>
        <v>#N/A</v>
      </c>
      <c r="E41" s="1004" t="s">
        <v>197</v>
      </c>
      <c r="F41" s="1055" t="str">
        <f>RIGHT(B41,3)&amp;"W"</f>
        <v>002W</v>
      </c>
      <c r="G41" s="1004" t="s">
        <v>4873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4869</v>
      </c>
      <c r="C42" s="1003" t="str">
        <f>VLOOKUP(LEFT(B42,3),'ships name'!A:C,2,FALSE)</f>
        <v>CMA CGM MUSSET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4874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4870</v>
      </c>
      <c r="C43" s="1079" t="str">
        <f>VLOOKUP(LEFT(B43,3),'ships name'!A:C,2,FALSE)</f>
        <v>XIN YAN TIAN</v>
      </c>
      <c r="D43" s="1011" t="str">
        <f>VLOOKUP(LEFT(B43,3),'ships name'!A:C,3,FALSE)</f>
        <v xml:space="preserve"> </v>
      </c>
      <c r="E43" s="1003" t="s">
        <v>197</v>
      </c>
      <c r="F43" s="1055" t="str">
        <f t="shared" si="18"/>
        <v>0BE3XW</v>
      </c>
      <c r="G43" s="1004" t="s">
        <v>4875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4871</v>
      </c>
      <c r="C44" s="1003" t="str">
        <f>VLOOKUP(LEFT(B44,3),'ships name'!A:C,2,FALSE)</f>
        <v>EVER SAFETY</v>
      </c>
      <c r="D44" s="1011" t="str">
        <f>VLOOKUP(LEFT(B44,3),'ships name'!A:C,3,FALSE)</f>
        <v xml:space="preserve">  </v>
      </c>
      <c r="E44" s="1003" t="s">
        <v>197</v>
      </c>
      <c r="F44" s="1003" t="str">
        <f>RIGHT(B44,3)&amp;"W"</f>
        <v>383W</v>
      </c>
      <c r="G44" s="1025" t="s">
        <v>4876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5" t="s">
        <v>0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  <c r="L2" s="1275"/>
      <c r="M2" s="1275"/>
      <c r="N2" s="1275"/>
      <c r="O2" s="1275"/>
    </row>
    <row r="3" spans="1:18" ht="28.15" customHeight="1">
      <c r="A3" s="1579"/>
      <c r="B3" s="1579"/>
      <c r="C3" s="1579"/>
      <c r="D3" s="1579"/>
      <c r="E3" s="1579"/>
      <c r="F3" s="1579"/>
      <c r="G3" s="1579"/>
      <c r="H3" s="1579"/>
      <c r="I3" s="1579"/>
      <c r="J3" s="1579"/>
      <c r="K3" s="1579"/>
      <c r="L3" s="1579"/>
      <c r="M3" s="1579"/>
      <c r="N3" s="1579"/>
      <c r="O3" s="1579"/>
    </row>
    <row r="4" spans="1:18" ht="28.15" customHeight="1">
      <c r="A4" s="1275" t="str">
        <f>IA!A4</f>
        <v>2019年06月船期表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</row>
    <row r="5" spans="1:18" ht="28.15" customHeight="1" thickBot="1"/>
    <row r="6" spans="1:18" ht="25.9" customHeight="1" thickBot="1">
      <c r="A6" s="1084" t="s">
        <v>326</v>
      </c>
      <c r="B6" s="1085"/>
      <c r="C6" s="1085"/>
      <c r="D6" s="1179" t="s">
        <v>3089</v>
      </c>
      <c r="E6" s="1179"/>
      <c r="F6" s="1179"/>
      <c r="G6" s="1179"/>
      <c r="H6" s="1179" t="s">
        <v>3087</v>
      </c>
      <c r="I6" s="1179"/>
      <c r="J6" s="1179"/>
      <c r="K6" s="143"/>
      <c r="L6" s="1173" t="s">
        <v>2</v>
      </c>
      <c r="M6" s="1167"/>
      <c r="N6" s="1167"/>
      <c r="O6" s="1167"/>
      <c r="P6" s="1442"/>
      <c r="Q6" s="151"/>
      <c r="R6" s="152"/>
    </row>
    <row r="7" spans="1:18" ht="19.899999999999999" customHeight="1">
      <c r="A7" s="1225" t="s">
        <v>3</v>
      </c>
      <c r="B7" s="1496" t="s">
        <v>4</v>
      </c>
      <c r="C7" s="1496" t="s">
        <v>5</v>
      </c>
      <c r="D7" s="1496" t="s">
        <v>6</v>
      </c>
      <c r="E7" s="1496"/>
      <c r="F7" s="1496"/>
      <c r="G7" s="1496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23"/>
      <c r="B8" s="1206"/>
      <c r="C8" s="1206"/>
      <c r="D8" s="1206" t="s">
        <v>121</v>
      </c>
      <c r="E8" s="1206"/>
      <c r="F8" s="1206" t="s">
        <v>122</v>
      </c>
      <c r="G8" s="1564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4"/>
      <c r="B9" s="1207"/>
      <c r="C9" s="1207"/>
      <c r="D9" s="1207"/>
      <c r="E9" s="1207"/>
      <c r="F9" s="1207"/>
      <c r="G9" s="1565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71">
        <v>14</v>
      </c>
      <c r="B10" s="1229" t="s">
        <v>337</v>
      </c>
      <c r="C10" s="108" t="str">
        <f>VLOOKUP(B10,'ships name'!A:C,2,FALSE)</f>
        <v>APL Changi</v>
      </c>
      <c r="D10" s="1192" t="str">
        <f>TEXT(LEFT(F10,3)-1,"000")&amp;"E"</f>
        <v>186E</v>
      </c>
      <c r="E10" s="1192"/>
      <c r="F10" s="1581" t="s">
        <v>338</v>
      </c>
      <c r="G10" s="1187"/>
      <c r="H10" s="1539">
        <f>I10-1</f>
        <v>42833</v>
      </c>
      <c r="I10" s="1539">
        <f>J10</f>
        <v>42834</v>
      </c>
      <c r="J10" s="1539">
        <v>42834</v>
      </c>
      <c r="K10" s="1553">
        <f>J10+7</f>
        <v>42841</v>
      </c>
      <c r="L10" s="1539">
        <f>J10+27</f>
        <v>42861</v>
      </c>
      <c r="M10" s="1539">
        <f>J10+30</f>
        <v>42864</v>
      </c>
      <c r="N10" s="1539">
        <f>J10+32</f>
        <v>42866</v>
      </c>
      <c r="O10" s="1539">
        <f>J10+35</f>
        <v>42869</v>
      </c>
      <c r="P10" s="1539">
        <f>J10+37</f>
        <v>42871</v>
      </c>
      <c r="Q10" s="1539">
        <f>J10+39</f>
        <v>42873</v>
      </c>
      <c r="R10" s="1536"/>
    </row>
    <row r="11" spans="1:18" ht="19.899999999999999" customHeight="1">
      <c r="A11" s="1572"/>
      <c r="B11" s="1192"/>
      <c r="C11" s="109" t="str">
        <f>VLOOKUP(B10,'ships name'!A:C,3,FALSE)</f>
        <v>美总樟宜</v>
      </c>
      <c r="D11" s="1192"/>
      <c r="E11" s="1192"/>
      <c r="F11" s="1192"/>
      <c r="G11" s="1187"/>
      <c r="H11" s="1540"/>
      <c r="I11" s="1540"/>
      <c r="J11" s="1540"/>
      <c r="K11" s="1554"/>
      <c r="L11" s="1540"/>
      <c r="M11" s="1540"/>
      <c r="N11" s="1540"/>
      <c r="O11" s="1540"/>
      <c r="P11" s="1540"/>
      <c r="Q11" s="1540"/>
      <c r="R11" s="1537"/>
    </row>
    <row r="12" spans="1:18" ht="19.899999999999999" customHeight="1">
      <c r="A12" s="1573" t="str">
        <f>TEXT(A10+1,"00")</f>
        <v>15</v>
      </c>
      <c r="B12" s="1230" t="s">
        <v>339</v>
      </c>
      <c r="C12" s="110" t="str">
        <f>VLOOKUP(B12,'ships name'!A:C,2,FALSE)</f>
        <v>CMA CGM JULES VERNE</v>
      </c>
      <c r="D12" s="1192" t="str">
        <f>TEXT(LEFT(F12,3)-1,"000")&amp;"E"</f>
        <v>188E</v>
      </c>
      <c r="E12" s="1192"/>
      <c r="F12" s="1582" t="s">
        <v>299</v>
      </c>
      <c r="G12" s="1187"/>
      <c r="H12" s="1539">
        <f>I12-1</f>
        <v>42840</v>
      </c>
      <c r="I12" s="1539">
        <f>J12</f>
        <v>42841</v>
      </c>
      <c r="J12" s="1539">
        <f>J10+7</f>
        <v>42841</v>
      </c>
      <c r="K12" s="1553">
        <f>J12+7</f>
        <v>42848</v>
      </c>
      <c r="L12" s="1539">
        <f>J12+27</f>
        <v>42868</v>
      </c>
      <c r="M12" s="1539">
        <f>J12+30</f>
        <v>42871</v>
      </c>
      <c r="N12" s="1539">
        <f>J12+32</f>
        <v>42873</v>
      </c>
      <c r="O12" s="1539">
        <f>J12+35</f>
        <v>42876</v>
      </c>
      <c r="P12" s="1539">
        <f>J12+37</f>
        <v>42878</v>
      </c>
      <c r="Q12" s="1539">
        <f>J12+39</f>
        <v>42880</v>
      </c>
      <c r="R12" s="1536"/>
    </row>
    <row r="13" spans="1:18" ht="19.5" customHeight="1">
      <c r="A13" s="1574"/>
      <c r="B13" s="1192"/>
      <c r="C13" s="109" t="str">
        <f>VLOOKUP(B12,'ships name'!A:C,3,FALSE)</f>
        <v>达飞凡尔纳</v>
      </c>
      <c r="D13" s="1192"/>
      <c r="E13" s="1192"/>
      <c r="F13" s="1583"/>
      <c r="G13" s="1187"/>
      <c r="H13" s="1540"/>
      <c r="I13" s="1540"/>
      <c r="J13" s="1540"/>
      <c r="K13" s="1554"/>
      <c r="L13" s="1540"/>
      <c r="M13" s="1540"/>
      <c r="N13" s="1540"/>
      <c r="O13" s="1540"/>
      <c r="P13" s="1540"/>
      <c r="Q13" s="1540"/>
      <c r="R13" s="1537"/>
    </row>
    <row r="14" spans="1:18" ht="19.899999999999999" customHeight="1">
      <c r="A14" s="1573" t="str">
        <f>TEXT(A12+1,"00")</f>
        <v>16</v>
      </c>
      <c r="B14" s="1192" t="s">
        <v>340</v>
      </c>
      <c r="C14" s="109" t="str">
        <f>VLOOKUP(B14,'ships name'!A:C,2,FALSE)</f>
        <v>CMA CGM GEORG FORSTER</v>
      </c>
      <c r="D14" s="1192" t="str">
        <f>TEXT(LEFT(F14,3)-1,"000")&amp;"E"</f>
        <v>012E</v>
      </c>
      <c r="E14" s="1192"/>
      <c r="F14" s="1584" t="s">
        <v>341</v>
      </c>
      <c r="G14" s="1187"/>
      <c r="H14" s="1539">
        <f>I14-1</f>
        <v>42847</v>
      </c>
      <c r="I14" s="1539">
        <f>J14</f>
        <v>42848</v>
      </c>
      <c r="J14" s="1539">
        <f>J12+7</f>
        <v>42848</v>
      </c>
      <c r="K14" s="1553">
        <f>J14+7</f>
        <v>42855</v>
      </c>
      <c r="L14" s="1539">
        <f>J14+27</f>
        <v>42875</v>
      </c>
      <c r="M14" s="1539">
        <f>J14+30</f>
        <v>42878</v>
      </c>
      <c r="N14" s="1539">
        <f>J14+32</f>
        <v>42880</v>
      </c>
      <c r="O14" s="1539">
        <f>J14+35</f>
        <v>42883</v>
      </c>
      <c r="P14" s="1539">
        <f>J14+37</f>
        <v>42885</v>
      </c>
      <c r="Q14" s="1539">
        <f>J14+39</f>
        <v>42887</v>
      </c>
      <c r="R14" s="1536"/>
    </row>
    <row r="15" spans="1:18" ht="19.899999999999999" customHeight="1">
      <c r="A15" s="1574"/>
      <c r="B15" s="1192"/>
      <c r="C15" s="109" t="str">
        <f>VLOOKUP(B14,'ships name'!A:C,3,FALSE)</f>
        <v>达飞乔致福斯特</v>
      </c>
      <c r="D15" s="1192"/>
      <c r="E15" s="1192"/>
      <c r="F15" s="1583"/>
      <c r="G15" s="1187"/>
      <c r="H15" s="1540"/>
      <c r="I15" s="1540"/>
      <c r="J15" s="1540"/>
      <c r="K15" s="1554"/>
      <c r="L15" s="1540"/>
      <c r="M15" s="1540"/>
      <c r="N15" s="1540"/>
      <c r="O15" s="1540"/>
      <c r="P15" s="1540"/>
      <c r="Q15" s="1540"/>
      <c r="R15" s="1537"/>
    </row>
    <row r="16" spans="1:18" ht="19.899999999999999" customHeight="1">
      <c r="A16" s="1573" t="str">
        <f>TEXT(A14+1,"00")</f>
        <v>17</v>
      </c>
      <c r="B16" s="1192" t="s">
        <v>342</v>
      </c>
      <c r="C16" s="109" t="str">
        <f>VLOOKUP(B16,'ships name'!A:C,2,FALSE)</f>
        <v>CMA CGM CORTE REAL</v>
      </c>
      <c r="D16" s="1192" t="str">
        <f>TEXT(LEFT(F16,3)-1,"000")&amp;"E"</f>
        <v>013E</v>
      </c>
      <c r="E16" s="1192"/>
      <c r="F16" s="1585" t="s">
        <v>343</v>
      </c>
      <c r="G16" s="1187"/>
      <c r="H16" s="1539">
        <f>I16-1</f>
        <v>42854</v>
      </c>
      <c r="I16" s="1539">
        <f>J16</f>
        <v>42855</v>
      </c>
      <c r="J16" s="1539">
        <f>J14+7</f>
        <v>42855</v>
      </c>
      <c r="K16" s="1553">
        <f>J16+7</f>
        <v>42862</v>
      </c>
      <c r="L16" s="1539">
        <f>J16+27</f>
        <v>42882</v>
      </c>
      <c r="M16" s="1539">
        <f>J16+30</f>
        <v>42885</v>
      </c>
      <c r="N16" s="1539">
        <f>J16+32</f>
        <v>42887</v>
      </c>
      <c r="O16" s="1539">
        <f>J16+35</f>
        <v>42890</v>
      </c>
      <c r="P16" s="1539">
        <f>J16+37</f>
        <v>42892</v>
      </c>
      <c r="Q16" s="1539">
        <f>J16+39</f>
        <v>42894</v>
      </c>
      <c r="R16" s="1536"/>
    </row>
    <row r="17" spans="1:18" ht="19.899999999999999" customHeight="1">
      <c r="A17" s="1574"/>
      <c r="B17" s="1192"/>
      <c r="C17" s="109" t="str">
        <f>VLOOKUP(B16,'ships name'!A:C,3,FALSE)</f>
        <v>达飞卡瑞尔</v>
      </c>
      <c r="D17" s="1192"/>
      <c r="E17" s="1192"/>
      <c r="F17" s="1583"/>
      <c r="G17" s="1187"/>
      <c r="H17" s="1540"/>
      <c r="I17" s="1540"/>
      <c r="J17" s="1540"/>
      <c r="K17" s="1554"/>
      <c r="L17" s="1540"/>
      <c r="M17" s="1540"/>
      <c r="N17" s="1540"/>
      <c r="O17" s="1540"/>
      <c r="P17" s="1540"/>
      <c r="Q17" s="1540"/>
      <c r="R17" s="1537"/>
    </row>
    <row r="18" spans="1:18" ht="19.899999999999999" customHeight="1">
      <c r="A18" s="1573" t="str">
        <f>TEXT(A16+1,"00")</f>
        <v>18</v>
      </c>
      <c r="B18" s="1192" t="s">
        <v>344</v>
      </c>
      <c r="C18" s="109" t="str">
        <f>VLOOKUP(B18,'ships name'!A:C,2,FALSE)</f>
        <v>CMA CGM BOUGAINVILLE</v>
      </c>
      <c r="D18" s="1248" t="str">
        <f>TEXT(LEFT(F18,3)-1,"000")&amp;"E"</f>
        <v>016E</v>
      </c>
      <c r="E18" s="1192"/>
      <c r="F18" s="1502" t="s">
        <v>345</v>
      </c>
      <c r="G18" s="1192"/>
      <c r="H18" s="1539">
        <f>I18-1</f>
        <v>42861</v>
      </c>
      <c r="I18" s="1539">
        <f>J18</f>
        <v>42862</v>
      </c>
      <c r="J18" s="1539">
        <f>J16+7</f>
        <v>42862</v>
      </c>
      <c r="K18" s="1553">
        <f>J18+7</f>
        <v>42869</v>
      </c>
      <c r="L18" s="1539">
        <f>J18+27</f>
        <v>42889</v>
      </c>
      <c r="M18" s="1539">
        <f>J18+30</f>
        <v>42892</v>
      </c>
      <c r="N18" s="1539">
        <f>J18+32</f>
        <v>42894</v>
      </c>
      <c r="O18" s="1539">
        <f>J18+35</f>
        <v>42897</v>
      </c>
      <c r="P18" s="1539">
        <f>J18+37</f>
        <v>42899</v>
      </c>
      <c r="Q18" s="1539">
        <f>J18+39</f>
        <v>42901</v>
      </c>
      <c r="R18" s="1536"/>
    </row>
    <row r="19" spans="1:18" ht="19.899999999999999" customHeight="1" thickBot="1">
      <c r="A19" s="1575"/>
      <c r="B19" s="1188"/>
      <c r="C19" s="111" t="str">
        <f>VLOOKUP(B18,'ships name'!A:C,3,FALSE)</f>
        <v>达飞布甘维尔</v>
      </c>
      <c r="D19" s="1249"/>
      <c r="E19" s="1188"/>
      <c r="F19" s="1188"/>
      <c r="G19" s="1188"/>
      <c r="H19" s="1541"/>
      <c r="I19" s="1541"/>
      <c r="J19" s="1541"/>
      <c r="K19" s="1555"/>
      <c r="L19" s="1541"/>
      <c r="M19" s="1541"/>
      <c r="N19" s="1541"/>
      <c r="O19" s="1541"/>
      <c r="P19" s="1541"/>
      <c r="Q19" s="1541"/>
      <c r="R19" s="1538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38" t="s">
        <v>346</v>
      </c>
      <c r="B22" s="1239"/>
      <c r="C22" s="1239"/>
      <c r="D22" s="1179" t="s">
        <v>74</v>
      </c>
      <c r="E22" s="1179"/>
      <c r="F22" s="1179"/>
      <c r="G22" s="1179"/>
      <c r="H22" s="1179" t="s">
        <v>75</v>
      </c>
      <c r="I22" s="1179"/>
      <c r="J22" s="1179"/>
      <c r="K22" s="132"/>
      <c r="L22" s="1580" t="s">
        <v>2</v>
      </c>
      <c r="M22" s="1167"/>
      <c r="N22" s="1167"/>
      <c r="O22" s="1168"/>
    </row>
    <row r="23" spans="1:18" ht="19.899999999999999" customHeight="1">
      <c r="A23" s="1091" t="s">
        <v>3</v>
      </c>
      <c r="B23" s="1093" t="s">
        <v>4</v>
      </c>
      <c r="C23" s="1093" t="s">
        <v>5</v>
      </c>
      <c r="D23" s="1093" t="s">
        <v>6</v>
      </c>
      <c r="E23" s="1093"/>
      <c r="F23" s="1093"/>
      <c r="G23" s="1093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91"/>
      <c r="B24" s="1093"/>
      <c r="C24" s="1093"/>
      <c r="D24" s="1093" t="s">
        <v>121</v>
      </c>
      <c r="E24" s="1093"/>
      <c r="F24" s="1093" t="s">
        <v>122</v>
      </c>
      <c r="G24" s="1093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13"/>
      <c r="B25" s="1498"/>
      <c r="C25" s="1498"/>
      <c r="D25" s="1498"/>
      <c r="E25" s="1498"/>
      <c r="F25" s="1498"/>
      <c r="G25" s="1498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71">
        <f>A10+1</f>
        <v>15</v>
      </c>
      <c r="B26" s="1229" t="s">
        <v>349</v>
      </c>
      <c r="C26" s="108" t="str">
        <f>VLOOKUP(B26,'ships name'!A:C,2,FALSE)</f>
        <v>COSCO PORTUGAL</v>
      </c>
      <c r="D26" s="1192" t="str">
        <f>TEXT(LEFT(F26,3)-1,"000")&amp;"E"</f>
        <v>046E</v>
      </c>
      <c r="E26" s="1192"/>
      <c r="F26" s="1566" t="s">
        <v>350</v>
      </c>
      <c r="G26" s="1192"/>
      <c r="H26" s="1494">
        <f>I26-1</f>
        <v>42834</v>
      </c>
      <c r="I26" s="1202">
        <f>J26</f>
        <v>42835</v>
      </c>
      <c r="J26" s="1185">
        <v>42835</v>
      </c>
      <c r="K26" s="1556">
        <f>J26+6</f>
        <v>42841</v>
      </c>
      <c r="L26" s="1550">
        <f>J26+27</f>
        <v>42862</v>
      </c>
      <c r="M26" s="1542">
        <f>J26+32</f>
        <v>42867</v>
      </c>
      <c r="N26" s="1542">
        <f>J26+35</f>
        <v>42870</v>
      </c>
      <c r="O26" s="1544"/>
    </row>
    <row r="27" spans="1:18" ht="19.899999999999999" customHeight="1">
      <c r="A27" s="1572"/>
      <c r="B27" s="1192"/>
      <c r="C27" s="109" t="str">
        <f>VLOOKUP(B26,'ships name'!A:C,3,FALSE)</f>
        <v>中远葡萄牙</v>
      </c>
      <c r="D27" s="1192"/>
      <c r="E27" s="1192"/>
      <c r="F27" s="1192"/>
      <c r="G27" s="1192"/>
      <c r="H27" s="1494"/>
      <c r="I27" s="1187"/>
      <c r="J27" s="1189"/>
      <c r="K27" s="1554"/>
      <c r="L27" s="1548"/>
      <c r="M27" s="1202"/>
      <c r="N27" s="1202"/>
      <c r="O27" s="1185"/>
    </row>
    <row r="28" spans="1:18" ht="19.899999999999999" customHeight="1">
      <c r="A28" s="1573">
        <f>A12+1</f>
        <v>16</v>
      </c>
      <c r="B28" s="1230" t="s">
        <v>351</v>
      </c>
      <c r="C28" s="110" t="str">
        <f>VLOOKUP(B28,'ships name'!A:C,2,FALSE)</f>
        <v xml:space="preserve">COSCO NETHERLANDS </v>
      </c>
      <c r="D28" s="1192" t="str">
        <f>TEXT(LEFT(F28,3)-1,"000")&amp;"E"</f>
        <v>003E</v>
      </c>
      <c r="E28" s="1192"/>
      <c r="F28" s="1566" t="s">
        <v>352</v>
      </c>
      <c r="G28" s="1192"/>
      <c r="H28" s="1494">
        <f>H26+7</f>
        <v>42841</v>
      </c>
      <c r="I28" s="1202">
        <f>I26+7</f>
        <v>42842</v>
      </c>
      <c r="J28" s="1185">
        <f>J26+7</f>
        <v>42842</v>
      </c>
      <c r="K28" s="1553">
        <f>J28+6</f>
        <v>42848</v>
      </c>
      <c r="L28" s="1547">
        <f>J28+27</f>
        <v>42869</v>
      </c>
      <c r="M28" s="1209">
        <f>J28+32</f>
        <v>42874</v>
      </c>
      <c r="N28" s="1209">
        <f>J28+35</f>
        <v>42877</v>
      </c>
      <c r="O28" s="1292"/>
    </row>
    <row r="29" spans="1:18" ht="19.899999999999999" customHeight="1">
      <c r="A29" s="1574"/>
      <c r="B29" s="1192"/>
      <c r="C29" s="109" t="str">
        <f>VLOOKUP(B28,'ships name'!A:C,3,FALSE)</f>
        <v>中远荷兰</v>
      </c>
      <c r="D29" s="1192"/>
      <c r="E29" s="1192"/>
      <c r="F29" s="1192"/>
      <c r="G29" s="1192"/>
      <c r="H29" s="1494"/>
      <c r="I29" s="1187"/>
      <c r="J29" s="1189"/>
      <c r="K29" s="1554"/>
      <c r="L29" s="1548"/>
      <c r="M29" s="1202"/>
      <c r="N29" s="1202"/>
      <c r="O29" s="1185"/>
    </row>
    <row r="30" spans="1:18" ht="19.899999999999999" customHeight="1">
      <c r="A30" s="1573">
        <f>A14+1</f>
        <v>17</v>
      </c>
      <c r="B30" s="1192" t="s">
        <v>353</v>
      </c>
      <c r="C30" s="110" t="str">
        <f>VLOOKUP(B30,'ships name'!A:C,2,FALSE)</f>
        <v xml:space="preserve">CSCL SATURN </v>
      </c>
      <c r="D30" s="1192" t="str">
        <f>TEXT(LEFT(F30,3)-1,"000")&amp;"E"</f>
        <v>050E</v>
      </c>
      <c r="E30" s="1192"/>
      <c r="F30" s="1566" t="s">
        <v>354</v>
      </c>
      <c r="G30" s="1192"/>
      <c r="H30" s="1494">
        <f>H28+7</f>
        <v>42848</v>
      </c>
      <c r="I30" s="1202">
        <f>I28+7</f>
        <v>42849</v>
      </c>
      <c r="J30" s="1185">
        <f>J28+7</f>
        <v>42849</v>
      </c>
      <c r="K30" s="1553">
        <f>J30+6</f>
        <v>42855</v>
      </c>
      <c r="L30" s="1547">
        <f>J30+27</f>
        <v>42876</v>
      </c>
      <c r="M30" s="1209">
        <f>J30+32</f>
        <v>42881</v>
      </c>
      <c r="N30" s="1209">
        <f>J30+35</f>
        <v>42884</v>
      </c>
      <c r="O30" s="1292"/>
    </row>
    <row r="31" spans="1:18" ht="19.899999999999999" customHeight="1">
      <c r="A31" s="1574"/>
      <c r="B31" s="1192"/>
      <c r="C31" s="109" t="str">
        <f>VLOOKUP(B30,'ships name'!A:C,3,FALSE)</f>
        <v>中海土星</v>
      </c>
      <c r="D31" s="1192"/>
      <c r="E31" s="1192"/>
      <c r="F31" s="1192"/>
      <c r="G31" s="1192"/>
      <c r="H31" s="1494"/>
      <c r="I31" s="1187"/>
      <c r="J31" s="1189"/>
      <c r="K31" s="1554"/>
      <c r="L31" s="1548"/>
      <c r="M31" s="1202"/>
      <c r="N31" s="1202"/>
      <c r="O31" s="1185"/>
    </row>
    <row r="32" spans="1:18" ht="19.899999999999999" customHeight="1">
      <c r="A32" s="1573">
        <f>A16+1</f>
        <v>18</v>
      </c>
      <c r="B32" s="1192" t="s">
        <v>27</v>
      </c>
      <c r="C32" s="110" t="str">
        <f>VLOOKUP(B32,'ships name'!A:C,2,FALSE)</f>
        <v>TO BE ADVISED</v>
      </c>
      <c r="D32" s="1192" t="str">
        <f>TEXT(LEFT(F32,3)-1,"000")&amp;"E"</f>
        <v>052E</v>
      </c>
      <c r="E32" s="1192"/>
      <c r="F32" s="1566" t="s">
        <v>355</v>
      </c>
      <c r="G32" s="1192"/>
      <c r="H32" s="1494">
        <f>H30+7</f>
        <v>42855</v>
      </c>
      <c r="I32" s="1202">
        <f>I30+7</f>
        <v>42856</v>
      </c>
      <c r="J32" s="1185">
        <f>J30+7</f>
        <v>42856</v>
      </c>
      <c r="K32" s="1553">
        <f>J32+6</f>
        <v>42862</v>
      </c>
      <c r="L32" s="1547">
        <f>J32+27</f>
        <v>42883</v>
      </c>
      <c r="M32" s="1209">
        <f>J32+32</f>
        <v>42888</v>
      </c>
      <c r="N32" s="1209">
        <f>J32+35</f>
        <v>42891</v>
      </c>
      <c r="O32" s="1292"/>
    </row>
    <row r="33" spans="1:18" ht="19.899999999999999" customHeight="1">
      <c r="A33" s="1574"/>
      <c r="B33" s="1192"/>
      <c r="C33" s="109" t="str">
        <f>VLOOKUP(B32,'ships name'!A:C,3,FALSE)</f>
        <v>TO BE ADVISED</v>
      </c>
      <c r="D33" s="1192"/>
      <c r="E33" s="1192"/>
      <c r="F33" s="1192"/>
      <c r="G33" s="1192"/>
      <c r="H33" s="1494"/>
      <c r="I33" s="1187"/>
      <c r="J33" s="1189"/>
      <c r="K33" s="1554"/>
      <c r="L33" s="1548"/>
      <c r="M33" s="1202"/>
      <c r="N33" s="1202"/>
      <c r="O33" s="1185"/>
    </row>
    <row r="34" spans="1:18" ht="19.899999999999999" customHeight="1">
      <c r="A34" s="1573">
        <f>A18+1</f>
        <v>19</v>
      </c>
      <c r="B34" s="1192" t="s">
        <v>356</v>
      </c>
      <c r="C34" s="110" t="str">
        <f>VLOOKUP(B34,'ships name'!A:C,2,FALSE)</f>
        <v>COSCO BELGIUM</v>
      </c>
      <c r="D34" s="1248" t="str">
        <f>TEXT(LEFT(F34,3)-1,"000")&amp;"E"</f>
        <v>054E</v>
      </c>
      <c r="E34" s="1192"/>
      <c r="F34" s="1502" t="s">
        <v>357</v>
      </c>
      <c r="G34" s="1192"/>
      <c r="H34" s="1494">
        <f>H32+7</f>
        <v>42862</v>
      </c>
      <c r="I34" s="1187">
        <f>I32+7</f>
        <v>42863</v>
      </c>
      <c r="J34" s="1189">
        <f>J32+7</f>
        <v>42863</v>
      </c>
      <c r="K34" s="1553">
        <f>J34+6</f>
        <v>42869</v>
      </c>
      <c r="L34" s="1547">
        <f>J34+27</f>
        <v>42890</v>
      </c>
      <c r="M34" s="1209">
        <f>J34+32</f>
        <v>42895</v>
      </c>
      <c r="N34" s="1209">
        <f>J34+35</f>
        <v>42898</v>
      </c>
      <c r="O34" s="1545"/>
    </row>
    <row r="35" spans="1:18" ht="19.899999999999999" customHeight="1">
      <c r="A35" s="1575"/>
      <c r="B35" s="1188"/>
      <c r="C35" s="111" t="str">
        <f>VLOOKUP(B34,'ships name'!A:C,3,FALSE)</f>
        <v>中远比利时</v>
      </c>
      <c r="D35" s="1249"/>
      <c r="E35" s="1188"/>
      <c r="F35" s="1188"/>
      <c r="G35" s="1188"/>
      <c r="H35" s="1495"/>
      <c r="I35" s="1472"/>
      <c r="J35" s="1191"/>
      <c r="K35" s="1555"/>
      <c r="L35" s="1549"/>
      <c r="M35" s="1123"/>
      <c r="N35" s="1123"/>
      <c r="O35" s="1543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38" t="s">
        <v>358</v>
      </c>
      <c r="B37" s="1239"/>
      <c r="C37" s="1239"/>
      <c r="D37" s="1179" t="s">
        <v>3089</v>
      </c>
      <c r="E37" s="1179"/>
      <c r="F37" s="1179"/>
      <c r="G37" s="1179"/>
      <c r="H37" s="1179" t="s">
        <v>3087</v>
      </c>
      <c r="I37" s="1179"/>
      <c r="J37" s="1179"/>
      <c r="K37" s="143"/>
      <c r="L37" s="1173" t="s">
        <v>2</v>
      </c>
      <c r="M37" s="1167"/>
      <c r="N37" s="1167"/>
      <c r="O37" s="1167"/>
      <c r="P37" s="1168"/>
    </row>
    <row r="38" spans="1:18" ht="19.899999999999999" customHeight="1">
      <c r="A38" s="1091" t="s">
        <v>3</v>
      </c>
      <c r="B38" s="1093" t="s">
        <v>4</v>
      </c>
      <c r="C38" s="1093" t="s">
        <v>5</v>
      </c>
      <c r="D38" s="1093" t="s">
        <v>6</v>
      </c>
      <c r="E38" s="1093"/>
      <c r="F38" s="1093"/>
      <c r="G38" s="1093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91"/>
      <c r="B39" s="1093"/>
      <c r="C39" s="1093"/>
      <c r="D39" s="1093" t="s">
        <v>121</v>
      </c>
      <c r="E39" s="1093"/>
      <c r="F39" s="1093" t="s">
        <v>122</v>
      </c>
      <c r="G39" s="1093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13"/>
      <c r="B40" s="1498"/>
      <c r="C40" s="1498"/>
      <c r="D40" s="1498"/>
      <c r="E40" s="1498"/>
      <c r="F40" s="1498"/>
      <c r="G40" s="1498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6">
        <f>A10</f>
        <v>14</v>
      </c>
      <c r="B41" s="1229" t="s">
        <v>362</v>
      </c>
      <c r="C41" s="108" t="str">
        <f>VLOOKUP(B41,'ships name'!A:C,2,FALSE)</f>
        <v>CMA CGM AMERIGO VESPUCCI</v>
      </c>
      <c r="D41" s="1192" t="str">
        <f>TEXT(LEFT(F41,3)-1,"000")&amp;"E"</f>
        <v>010E</v>
      </c>
      <c r="E41" s="1192"/>
      <c r="F41" s="1563" t="s">
        <v>363</v>
      </c>
      <c r="G41" s="1230"/>
      <c r="H41" s="1202">
        <f>I41-1</f>
        <v>42829</v>
      </c>
      <c r="I41" s="1202">
        <f>J41-1</f>
        <v>42830</v>
      </c>
      <c r="J41" s="1185">
        <v>42831</v>
      </c>
      <c r="K41" s="1556">
        <f>J41+10</f>
        <v>42841</v>
      </c>
      <c r="L41" s="1550">
        <f>J41+30</f>
        <v>42861</v>
      </c>
      <c r="M41" s="1542">
        <f>J41+32</f>
        <v>42863</v>
      </c>
      <c r="N41" s="1542">
        <f>J41+34</f>
        <v>42865</v>
      </c>
      <c r="O41" s="1546">
        <f>J41+38</f>
        <v>42869</v>
      </c>
      <c r="P41" s="1544">
        <f>J41+47</f>
        <v>42878</v>
      </c>
    </row>
    <row r="42" spans="1:18" ht="19.899999999999999" customHeight="1">
      <c r="A42" s="1223"/>
      <c r="B42" s="1192"/>
      <c r="C42" s="109" t="str">
        <f>VLOOKUP(B41,'ships name'!A:C,3,FALSE)</f>
        <v>达飞韦斯普奇</v>
      </c>
      <c r="D42" s="1192"/>
      <c r="E42" s="1192"/>
      <c r="F42" s="1192"/>
      <c r="G42" s="1192"/>
      <c r="H42" s="1187"/>
      <c r="I42" s="1187"/>
      <c r="J42" s="1189"/>
      <c r="K42" s="1554"/>
      <c r="L42" s="1548"/>
      <c r="M42" s="1202"/>
      <c r="N42" s="1202"/>
      <c r="O42" s="1489"/>
      <c r="P42" s="1185"/>
    </row>
    <row r="43" spans="1:18" ht="19.899999999999999" customHeight="1">
      <c r="A43" s="1226" t="str">
        <f>A12</f>
        <v>15</v>
      </c>
      <c r="B43" s="1230" t="s">
        <v>364</v>
      </c>
      <c r="C43" s="110" t="str">
        <f>VLOOKUP(B43,'ships name'!A:C,2,FALSE)</f>
        <v>CMA CGM ALASKA</v>
      </c>
      <c r="D43" s="1192" t="str">
        <f>TEXT(LEFT(F43,3)-1,"000")&amp;"E"</f>
        <v>012E</v>
      </c>
      <c r="E43" s="1192"/>
      <c r="F43" s="1566" t="s">
        <v>341</v>
      </c>
      <c r="G43" s="1230"/>
      <c r="H43" s="1352">
        <f>H41+7</f>
        <v>42836</v>
      </c>
      <c r="I43" s="1352">
        <f>H43+1</f>
        <v>42837</v>
      </c>
      <c r="J43" s="1292">
        <f>J41+7</f>
        <v>42838</v>
      </c>
      <c r="K43" s="1553">
        <f>J43+10</f>
        <v>42848</v>
      </c>
      <c r="L43" s="1547">
        <f>J43+30</f>
        <v>42868</v>
      </c>
      <c r="M43" s="1209">
        <f>J43+32</f>
        <v>42870</v>
      </c>
      <c r="N43" s="1209">
        <f>J43+34</f>
        <v>42872</v>
      </c>
      <c r="O43" s="1352">
        <f>J43+38</f>
        <v>42876</v>
      </c>
      <c r="P43" s="1292">
        <f>J43+47</f>
        <v>42885</v>
      </c>
    </row>
    <row r="44" spans="1:18" ht="19.899999999999999" customHeight="1">
      <c r="A44" s="1223"/>
      <c r="B44" s="1192"/>
      <c r="C44" s="109">
        <f>VLOOKUP(B43,'ships name'!A:C,3,FALSE)</f>
        <v>0</v>
      </c>
      <c r="D44" s="1192"/>
      <c r="E44" s="1192"/>
      <c r="F44" s="1192"/>
      <c r="G44" s="1192"/>
      <c r="H44" s="1489"/>
      <c r="I44" s="1489"/>
      <c r="J44" s="1185"/>
      <c r="K44" s="1554"/>
      <c r="L44" s="1548"/>
      <c r="M44" s="1202"/>
      <c r="N44" s="1202"/>
      <c r="O44" s="1489"/>
      <c r="P44" s="1185"/>
    </row>
    <row r="45" spans="1:18" ht="19.899999999999999" customHeight="1">
      <c r="A45" s="1226" t="str">
        <f>A14</f>
        <v>16</v>
      </c>
      <c r="B45" s="1230" t="s">
        <v>365</v>
      </c>
      <c r="C45" s="110" t="str">
        <f>VLOOKUP(B45,'ships name'!A:C,2,FALSE)</f>
        <v>CMA CGM LAPEROUSE</v>
      </c>
      <c r="D45" s="1192" t="str">
        <f>TEXT(LEFT(F45,3)-1,"000")&amp;"E"</f>
        <v>014E</v>
      </c>
      <c r="E45" s="1192"/>
      <c r="F45" s="1230" t="s">
        <v>366</v>
      </c>
      <c r="G45" s="1187"/>
      <c r="H45" s="1352">
        <f>H43+7</f>
        <v>42843</v>
      </c>
      <c r="I45" s="1352">
        <f>H45+1</f>
        <v>42844</v>
      </c>
      <c r="J45" s="1292">
        <f>J43+7</f>
        <v>42845</v>
      </c>
      <c r="K45" s="1553">
        <f>J45+10</f>
        <v>42855</v>
      </c>
      <c r="L45" s="1209">
        <f>J45+30</f>
        <v>42875</v>
      </c>
      <c r="M45" s="1209">
        <f>J45+32</f>
        <v>42877</v>
      </c>
      <c r="N45" s="1209">
        <f>J45+34</f>
        <v>42879</v>
      </c>
      <c r="O45" s="1352">
        <f>J45+38</f>
        <v>42883</v>
      </c>
      <c r="P45" s="1292">
        <f>J45+47</f>
        <v>42892</v>
      </c>
    </row>
    <row r="46" spans="1:18" ht="19.899999999999999" customHeight="1">
      <c r="A46" s="1223"/>
      <c r="B46" s="1192"/>
      <c r="C46" s="109" t="str">
        <f>VLOOKUP(B45,'ships name'!A:C,3,FALSE)</f>
        <v>达飞拉彼鲁兹</v>
      </c>
      <c r="D46" s="1192"/>
      <c r="E46" s="1192"/>
      <c r="F46" s="1192"/>
      <c r="G46" s="1187"/>
      <c r="H46" s="1489"/>
      <c r="I46" s="1489"/>
      <c r="J46" s="1185"/>
      <c r="K46" s="1554"/>
      <c r="L46" s="1202"/>
      <c r="M46" s="1202"/>
      <c r="N46" s="1202"/>
      <c r="O46" s="1489"/>
      <c r="P46" s="1185"/>
    </row>
    <row r="47" spans="1:18" ht="19.899999999999999" customHeight="1">
      <c r="A47" s="1226" t="str">
        <f>A16</f>
        <v>17</v>
      </c>
      <c r="B47" s="1230"/>
      <c r="C47" s="110" t="e">
        <f>VLOOKUP(B47,'ships name'!A:C,2,FALSE)</f>
        <v>#N/A</v>
      </c>
      <c r="D47" s="1192" t="str">
        <f>TEXT(LEFT(F47,3)-1,"000")&amp;"E"</f>
        <v>017E</v>
      </c>
      <c r="E47" s="1192"/>
      <c r="F47" s="1230" t="s">
        <v>367</v>
      </c>
      <c r="G47" s="1187"/>
      <c r="H47" s="1352">
        <f>H45+7</f>
        <v>42850</v>
      </c>
      <c r="I47" s="1352">
        <f>H47+1</f>
        <v>42851</v>
      </c>
      <c r="J47" s="1292">
        <f>J45+7</f>
        <v>42852</v>
      </c>
      <c r="K47" s="1553">
        <f>J47+10</f>
        <v>42862</v>
      </c>
      <c r="L47" s="1209">
        <f>J47+30</f>
        <v>42882</v>
      </c>
      <c r="M47" s="1209">
        <f>J47+32</f>
        <v>42884</v>
      </c>
      <c r="N47" s="1209">
        <f>J47+34</f>
        <v>42886</v>
      </c>
      <c r="O47" s="1352">
        <f>J47+38</f>
        <v>42890</v>
      </c>
      <c r="P47" s="1292">
        <f>J47+47</f>
        <v>42899</v>
      </c>
    </row>
    <row r="48" spans="1:18" ht="19.899999999999999" customHeight="1">
      <c r="A48" s="1223"/>
      <c r="B48" s="1192"/>
      <c r="C48" s="109" t="e">
        <f>VLOOKUP(B47,'ships name'!A:C,3,FALSE)</f>
        <v>#N/A</v>
      </c>
      <c r="D48" s="1192"/>
      <c r="E48" s="1192"/>
      <c r="F48" s="1192"/>
      <c r="G48" s="1187"/>
      <c r="H48" s="1489"/>
      <c r="I48" s="1489"/>
      <c r="J48" s="1185"/>
      <c r="K48" s="1554"/>
      <c r="L48" s="1202"/>
      <c r="M48" s="1202"/>
      <c r="N48" s="1202"/>
      <c r="O48" s="1489"/>
      <c r="P48" s="1185"/>
    </row>
    <row r="49" spans="1:17" ht="19.899999999999999" customHeight="1">
      <c r="A49" s="1226" t="str">
        <f>A18</f>
        <v>18</v>
      </c>
      <c r="B49" s="1230" t="s">
        <v>368</v>
      </c>
      <c r="C49" s="110" t="str">
        <f>VLOOKUP(B49,'ships name'!A:C,2,FALSE)</f>
        <v>APL Merlion</v>
      </c>
      <c r="D49" s="1248" t="str">
        <f>TEXT(LEFT(F49,3)-1,"000")&amp;"E"</f>
        <v>017E</v>
      </c>
      <c r="E49" s="1192"/>
      <c r="F49" s="1502" t="s">
        <v>367</v>
      </c>
      <c r="G49" s="1192"/>
      <c r="H49" s="1187">
        <f>H47+7</f>
        <v>42857</v>
      </c>
      <c r="I49" s="1187">
        <f>H49+1</f>
        <v>42858</v>
      </c>
      <c r="J49" s="1189">
        <f>J47+7</f>
        <v>42859</v>
      </c>
      <c r="K49" s="1553">
        <f>J49+10</f>
        <v>42869</v>
      </c>
      <c r="L49" s="1551">
        <f>J49+30</f>
        <v>42889</v>
      </c>
      <c r="M49" s="1209">
        <f>J49+32</f>
        <v>42891</v>
      </c>
      <c r="N49" s="1209">
        <f>J49+34</f>
        <v>42893</v>
      </c>
      <c r="O49" s="1352">
        <f>J49+38</f>
        <v>42897</v>
      </c>
      <c r="P49" s="1292">
        <f>J49+47</f>
        <v>42906</v>
      </c>
    </row>
    <row r="50" spans="1:17" ht="19.899999999999999" customHeight="1" thickBot="1">
      <c r="A50" s="1223"/>
      <c r="B50" s="1188"/>
      <c r="C50" s="111" t="str">
        <f>VLOOKUP(B49,'ships name'!A:C,3,FALSE)</f>
        <v>美总默林</v>
      </c>
      <c r="D50" s="1249"/>
      <c r="E50" s="1188"/>
      <c r="F50" s="1188"/>
      <c r="G50" s="1188"/>
      <c r="H50" s="1472"/>
      <c r="I50" s="1472"/>
      <c r="J50" s="1191"/>
      <c r="K50" s="1555"/>
      <c r="L50" s="1552"/>
      <c r="M50" s="1123"/>
      <c r="N50" s="1123"/>
      <c r="O50" s="1493"/>
      <c r="P50" s="1543"/>
    </row>
    <row r="51" spans="1:17" ht="19.899999999999999" customHeight="1" thickBot="1"/>
    <row r="52" spans="1:17" s="100" customFormat="1" ht="25.9" customHeight="1">
      <c r="A52" s="1238" t="s">
        <v>369</v>
      </c>
      <c r="B52" s="1239"/>
      <c r="C52" s="1239"/>
      <c r="D52" s="1179" t="s">
        <v>3088</v>
      </c>
      <c r="E52" s="1179"/>
      <c r="F52" s="1179"/>
      <c r="G52" s="1179"/>
      <c r="H52" s="1179" t="s">
        <v>3087</v>
      </c>
      <c r="I52" s="1179"/>
      <c r="J52" s="1179"/>
      <c r="K52" s="150"/>
      <c r="L52" s="1576" t="s">
        <v>2</v>
      </c>
      <c r="M52" s="1577"/>
      <c r="N52" s="1577"/>
      <c r="O52" s="1578"/>
      <c r="Q52" s="100">
        <v>1</v>
      </c>
    </row>
    <row r="53" spans="1:17" ht="19.899999999999999" customHeight="1">
      <c r="A53" s="1091" t="s">
        <v>3</v>
      </c>
      <c r="B53" s="1093" t="s">
        <v>4</v>
      </c>
      <c r="C53" s="1093" t="s">
        <v>5</v>
      </c>
      <c r="D53" s="1093" t="s">
        <v>6</v>
      </c>
      <c r="E53" s="1093"/>
      <c r="F53" s="1093"/>
      <c r="G53" s="1093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91"/>
      <c r="B54" s="1093"/>
      <c r="C54" s="1093"/>
      <c r="D54" s="1093" t="s">
        <v>121</v>
      </c>
      <c r="E54" s="1093" t="s">
        <v>29</v>
      </c>
      <c r="F54" s="1093" t="s">
        <v>122</v>
      </c>
      <c r="G54" s="1093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13"/>
      <c r="B55" s="1498"/>
      <c r="C55" s="1498"/>
      <c r="D55" s="1498"/>
      <c r="E55" s="1498"/>
      <c r="F55" s="1498"/>
      <c r="G55" s="1498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6">
        <v>14</v>
      </c>
      <c r="B56" s="1229" t="s">
        <v>374</v>
      </c>
      <c r="C56" s="108" t="e">
        <f>VLOOKUP(B56,'ships name'!A:C,2,FALSE)</f>
        <v>#N/A</v>
      </c>
      <c r="D56" s="1229"/>
      <c r="E56" s="1229"/>
      <c r="F56" s="1501" t="s">
        <v>363</v>
      </c>
      <c r="G56" s="1192"/>
      <c r="H56" s="1187">
        <f>I56-1</f>
        <v>42828</v>
      </c>
      <c r="I56" s="1202">
        <f>J56-2</f>
        <v>42829</v>
      </c>
      <c r="J56" s="1185">
        <v>42831</v>
      </c>
      <c r="K56" s="1553">
        <f>J56+7</f>
        <v>42838</v>
      </c>
      <c r="L56" s="1547">
        <f>J56+29</f>
        <v>42860</v>
      </c>
      <c r="M56" s="1209">
        <f>J56+33</f>
        <v>42864</v>
      </c>
      <c r="N56" s="1209">
        <f>J56+37</f>
        <v>42868</v>
      </c>
      <c r="O56" s="1292">
        <f>J56+27</f>
        <v>42858</v>
      </c>
    </row>
    <row r="57" spans="1:17" ht="19.899999999999999" customHeight="1">
      <c r="A57" s="1223"/>
      <c r="B57" s="1192"/>
      <c r="C57" s="109" t="e">
        <f>VLOOKUP(B56,'ships name'!A:C,3,FALSE)</f>
        <v>#N/A</v>
      </c>
      <c r="D57" s="1248"/>
      <c r="E57" s="1248"/>
      <c r="F57" s="1566"/>
      <c r="G57" s="1192"/>
      <c r="H57" s="1187"/>
      <c r="I57" s="1187"/>
      <c r="J57" s="1189"/>
      <c r="K57" s="1554"/>
      <c r="L57" s="1548"/>
      <c r="M57" s="1202"/>
      <c r="N57" s="1202"/>
      <c r="O57" s="1185"/>
    </row>
    <row r="58" spans="1:17" ht="19.899999999999999" customHeight="1">
      <c r="A58" s="1226">
        <v>15</v>
      </c>
      <c r="B58" s="1192"/>
      <c r="C58" s="110" t="e">
        <f>VLOOKUP(B58,'ships name'!A:C,2,FALSE)</f>
        <v>#N/A</v>
      </c>
      <c r="D58" s="1192"/>
      <c r="E58" s="1192"/>
      <c r="F58" s="1502"/>
      <c r="G58" s="1192"/>
      <c r="H58" s="1187">
        <f>H56+7</f>
        <v>42835</v>
      </c>
      <c r="I58" s="1202">
        <f>H58+1</f>
        <v>42836</v>
      </c>
      <c r="J58" s="1185">
        <f>J56+7</f>
        <v>42838</v>
      </c>
      <c r="K58" s="1553">
        <f>J58+7</f>
        <v>42845</v>
      </c>
      <c r="L58" s="1547">
        <f>J58+29</f>
        <v>42867</v>
      </c>
      <c r="M58" s="1209">
        <f>J58+33</f>
        <v>42871</v>
      </c>
      <c r="N58" s="1209">
        <f>J58+37</f>
        <v>42875</v>
      </c>
      <c r="O58" s="1292">
        <f>J58+27</f>
        <v>42865</v>
      </c>
    </row>
    <row r="59" spans="1:17" ht="19.899999999999999" customHeight="1">
      <c r="A59" s="1223"/>
      <c r="B59" s="1192"/>
      <c r="C59" s="109" t="e">
        <f>VLOOKUP(B58,'ships name'!A:C,3,FALSE)</f>
        <v>#N/A</v>
      </c>
      <c r="D59" s="1192"/>
      <c r="E59" s="1192"/>
      <c r="F59" s="1192"/>
      <c r="G59" s="1192"/>
      <c r="H59" s="1187"/>
      <c r="I59" s="1187"/>
      <c r="J59" s="1189"/>
      <c r="K59" s="1554"/>
      <c r="L59" s="1548"/>
      <c r="M59" s="1202"/>
      <c r="N59" s="1202"/>
      <c r="O59" s="1185"/>
    </row>
    <row r="60" spans="1:17" ht="19.899999999999999" customHeight="1">
      <c r="A60" s="1226">
        <v>16</v>
      </c>
      <c r="B60" s="1192"/>
      <c r="C60" s="110" t="e">
        <f>VLOOKUP(B60,'ships name'!A:C,2,FALSE)</f>
        <v>#N/A</v>
      </c>
      <c r="D60" s="1192"/>
      <c r="E60" s="1192"/>
      <c r="F60" s="1502"/>
      <c r="G60" s="1192"/>
      <c r="H60" s="1187">
        <f>H58+7</f>
        <v>42842</v>
      </c>
      <c r="I60" s="1202">
        <f>H60+1</f>
        <v>42843</v>
      </c>
      <c r="J60" s="1185">
        <f>J58+7</f>
        <v>42845</v>
      </c>
      <c r="K60" s="1553">
        <f>J60+7</f>
        <v>42852</v>
      </c>
      <c r="L60" s="1547">
        <f>J60+29</f>
        <v>42874</v>
      </c>
      <c r="M60" s="1209">
        <f>J60+33</f>
        <v>42878</v>
      </c>
      <c r="N60" s="1209">
        <f>J60+37</f>
        <v>42882</v>
      </c>
      <c r="O60" s="1292">
        <f>J60+27</f>
        <v>42872</v>
      </c>
    </row>
    <row r="61" spans="1:17" ht="19.899999999999999" customHeight="1">
      <c r="A61" s="1223"/>
      <c r="B61" s="1192"/>
      <c r="C61" s="109" t="e">
        <f>VLOOKUP(B60,'ships name'!A:C,3,FALSE)</f>
        <v>#N/A</v>
      </c>
      <c r="D61" s="1192"/>
      <c r="E61" s="1192"/>
      <c r="F61" s="1192"/>
      <c r="G61" s="1192"/>
      <c r="H61" s="1187"/>
      <c r="I61" s="1187"/>
      <c r="J61" s="1189"/>
      <c r="K61" s="1554"/>
      <c r="L61" s="1548"/>
      <c r="M61" s="1202"/>
      <c r="N61" s="1202"/>
      <c r="O61" s="1185"/>
    </row>
    <row r="62" spans="1:17" ht="19.899999999999999" customHeight="1">
      <c r="A62" s="1226">
        <v>17</v>
      </c>
      <c r="B62" s="1192"/>
      <c r="C62" s="110" t="e">
        <f>VLOOKUP(B62,'ships name'!A:C,2,FALSE)</f>
        <v>#N/A</v>
      </c>
      <c r="D62" s="1192"/>
      <c r="E62" s="1192"/>
      <c r="F62" s="1502"/>
      <c r="G62" s="1192"/>
      <c r="H62" s="1187">
        <f>H60+7</f>
        <v>42849</v>
      </c>
      <c r="I62" s="1202">
        <f>H62+1</f>
        <v>42850</v>
      </c>
      <c r="J62" s="1185">
        <f>J60+7</f>
        <v>42852</v>
      </c>
      <c r="K62" s="1553">
        <f>J62+7</f>
        <v>42859</v>
      </c>
      <c r="L62" s="1547">
        <f>J62+29</f>
        <v>42881</v>
      </c>
      <c r="M62" s="1209">
        <f>J62+33</f>
        <v>42885</v>
      </c>
      <c r="N62" s="1209">
        <f>J62+37</f>
        <v>42889</v>
      </c>
      <c r="O62" s="1292">
        <f>J62+27</f>
        <v>42879</v>
      </c>
    </row>
    <row r="63" spans="1:17" ht="19.899999999999999" customHeight="1">
      <c r="A63" s="1223"/>
      <c r="B63" s="1192"/>
      <c r="C63" s="109" t="e">
        <f>VLOOKUP(B62,'ships name'!A:C,3,FALSE)</f>
        <v>#N/A</v>
      </c>
      <c r="D63" s="1192"/>
      <c r="E63" s="1192"/>
      <c r="F63" s="1192"/>
      <c r="G63" s="1192"/>
      <c r="H63" s="1187"/>
      <c r="I63" s="1187"/>
      <c r="J63" s="1189"/>
      <c r="K63" s="1554"/>
      <c r="L63" s="1548"/>
      <c r="M63" s="1202"/>
      <c r="N63" s="1202"/>
      <c r="O63" s="1185"/>
    </row>
    <row r="64" spans="1:17" ht="19.899999999999999" customHeight="1">
      <c r="A64" s="1226">
        <v>18</v>
      </c>
      <c r="B64" s="1192"/>
      <c r="C64" s="110" t="e">
        <f>VLOOKUP(B64,'ships name'!A:C,2,FALSE)</f>
        <v>#N/A</v>
      </c>
      <c r="D64" s="1230"/>
      <c r="E64" s="1230"/>
      <c r="F64" s="1502"/>
      <c r="G64" s="1192"/>
      <c r="H64" s="1187">
        <f>H62+7</f>
        <v>42856</v>
      </c>
      <c r="I64" s="1187">
        <f>H64+1</f>
        <v>42857</v>
      </c>
      <c r="J64" s="1189">
        <f>J62+7</f>
        <v>42859</v>
      </c>
      <c r="K64" s="1553">
        <f>J64+7</f>
        <v>42866</v>
      </c>
      <c r="L64" s="1547">
        <f>J64+29</f>
        <v>42888</v>
      </c>
      <c r="M64" s="1209">
        <f>J64+33</f>
        <v>42892</v>
      </c>
      <c r="N64" s="1209">
        <f>J64+37</f>
        <v>42896</v>
      </c>
      <c r="O64" s="1292">
        <f>J64+27</f>
        <v>42886</v>
      </c>
    </row>
    <row r="65" spans="1:16" ht="19.899999999999999" customHeight="1" thickBot="1">
      <c r="A65" s="1223"/>
      <c r="B65" s="1188"/>
      <c r="C65" s="111" t="e">
        <f>VLOOKUP(B64,'ships name'!A:C,3,FALSE)</f>
        <v>#N/A</v>
      </c>
      <c r="D65" s="1188"/>
      <c r="E65" s="1188"/>
      <c r="F65" s="1188"/>
      <c r="G65" s="1188"/>
      <c r="H65" s="1472"/>
      <c r="I65" s="1472"/>
      <c r="J65" s="1191"/>
      <c r="K65" s="1554"/>
      <c r="L65" s="1548"/>
      <c r="M65" s="1202"/>
      <c r="N65" s="1202"/>
      <c r="O65" s="1185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68" t="s">
        <v>375</v>
      </c>
      <c r="B67" s="1569"/>
      <c r="C67" s="1569"/>
      <c r="D67" s="1557" t="s">
        <v>3086</v>
      </c>
      <c r="E67" s="1179"/>
      <c r="F67" s="1179"/>
      <c r="G67" s="1179"/>
      <c r="H67" s="1557" t="s">
        <v>3087</v>
      </c>
      <c r="I67" s="1179"/>
      <c r="J67" s="1179"/>
      <c r="K67" s="143"/>
      <c r="L67" s="1173" t="s">
        <v>2</v>
      </c>
      <c r="M67" s="1167"/>
      <c r="N67" s="1167"/>
      <c r="O67" s="1167"/>
      <c r="P67" s="164"/>
    </row>
    <row r="68" spans="1:16" ht="19.899999999999999" customHeight="1">
      <c r="A68" s="1091" t="s">
        <v>3</v>
      </c>
      <c r="B68" s="1093" t="s">
        <v>4</v>
      </c>
      <c r="C68" s="1093" t="s">
        <v>5</v>
      </c>
      <c r="D68" s="1093" t="s">
        <v>6</v>
      </c>
      <c r="E68" s="1093"/>
      <c r="F68" s="1093"/>
      <c r="G68" s="1093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91"/>
      <c r="B69" s="1093"/>
      <c r="C69" s="1093"/>
      <c r="D69" s="1093" t="s">
        <v>121</v>
      </c>
      <c r="E69" s="1558" t="s">
        <v>376</v>
      </c>
      <c r="F69" s="1093" t="s">
        <v>122</v>
      </c>
      <c r="G69" s="1558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13"/>
      <c r="B70" s="1498"/>
      <c r="C70" s="1498"/>
      <c r="D70" s="1498"/>
      <c r="E70" s="1559"/>
      <c r="F70" s="1498"/>
      <c r="G70" s="1559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6">
        <f>A41</f>
        <v>14</v>
      </c>
      <c r="B71" s="1229" t="s">
        <v>380</v>
      </c>
      <c r="C71" s="108" t="str">
        <f>VLOOKUP(B71,'ships name'!A:C,2,FALSE)</f>
        <v>THALASSA MANA</v>
      </c>
      <c r="D71" s="1563"/>
      <c r="E71" s="1560" t="s">
        <v>29</v>
      </c>
      <c r="F71" s="1563" t="s">
        <v>367</v>
      </c>
      <c r="G71" s="1560"/>
      <c r="H71" s="1202">
        <f>I71-1</f>
        <v>42827</v>
      </c>
      <c r="I71" s="1202">
        <f>J71-1</f>
        <v>42828</v>
      </c>
      <c r="J71" s="1185">
        <v>42829</v>
      </c>
      <c r="K71" s="1553">
        <f>J71+12</f>
        <v>42841</v>
      </c>
      <c r="L71" s="1542">
        <f>J71+32</f>
        <v>42861</v>
      </c>
      <c r="M71" s="1542">
        <f>J71+35</f>
        <v>42864</v>
      </c>
      <c r="N71" s="1542">
        <f>J71+29</f>
        <v>42858</v>
      </c>
      <c r="O71" s="1546"/>
      <c r="P71" s="1371"/>
    </row>
    <row r="72" spans="1:16" ht="21" customHeight="1">
      <c r="A72" s="1223"/>
      <c r="B72" s="1192"/>
      <c r="C72" s="109" t="str">
        <f>VLOOKUP(B71,'ships name'!A:C,3,FALSE)</f>
        <v xml:space="preserve"> </v>
      </c>
      <c r="D72" s="1192"/>
      <c r="E72" s="1507"/>
      <c r="F72" s="1192"/>
      <c r="G72" s="1507"/>
      <c r="H72" s="1187"/>
      <c r="I72" s="1187"/>
      <c r="J72" s="1189"/>
      <c r="K72" s="1554"/>
      <c r="L72" s="1202"/>
      <c r="M72" s="1202"/>
      <c r="N72" s="1202"/>
      <c r="O72" s="1489"/>
      <c r="P72" s="1371"/>
    </row>
    <row r="73" spans="1:16" ht="21" customHeight="1">
      <c r="A73" s="1570" t="str">
        <f>A43</f>
        <v>15</v>
      </c>
      <c r="B73" s="1230" t="s">
        <v>381</v>
      </c>
      <c r="C73" s="110" t="e">
        <f>VLOOKUP(B73,'ships name'!A:C,2,FALSE)</f>
        <v>#N/A</v>
      </c>
      <c r="D73" s="1502"/>
      <c r="E73" s="1561"/>
      <c r="F73" s="1502" t="s">
        <v>382</v>
      </c>
      <c r="G73" s="1561"/>
      <c r="H73" s="1202">
        <f>I73-1</f>
        <v>42834</v>
      </c>
      <c r="I73" s="1202">
        <f t="shared" ref="I73:N73" si="0">I71+7</f>
        <v>42835</v>
      </c>
      <c r="J73" s="1185">
        <f t="shared" si="0"/>
        <v>42836</v>
      </c>
      <c r="K73" s="1553">
        <f>J73+12</f>
        <v>42848</v>
      </c>
      <c r="L73" s="1209">
        <f t="shared" si="0"/>
        <v>42868</v>
      </c>
      <c r="M73" s="1209">
        <f t="shared" si="0"/>
        <v>42871</v>
      </c>
      <c r="N73" s="1209">
        <f t="shared" si="0"/>
        <v>42865</v>
      </c>
      <c r="O73" s="1352"/>
      <c r="P73" s="1371"/>
    </row>
    <row r="74" spans="1:16" ht="21" customHeight="1">
      <c r="A74" s="1223"/>
      <c r="B74" s="1192"/>
      <c r="C74" s="109" t="e">
        <f>VLOOKUP(B73,'ships name'!A:C,3,FALSE)</f>
        <v>#N/A</v>
      </c>
      <c r="D74" s="1192"/>
      <c r="E74" s="1507"/>
      <c r="F74" s="1192"/>
      <c r="G74" s="1507"/>
      <c r="H74" s="1187"/>
      <c r="I74" s="1187"/>
      <c r="J74" s="1189"/>
      <c r="K74" s="1554"/>
      <c r="L74" s="1202"/>
      <c r="M74" s="1202"/>
      <c r="N74" s="1202"/>
      <c r="O74" s="1489"/>
      <c r="P74" s="1371"/>
    </row>
    <row r="75" spans="1:16" ht="21" customHeight="1">
      <c r="A75" s="1570" t="str">
        <f>A45</f>
        <v>16</v>
      </c>
      <c r="B75" s="1192" t="s">
        <v>3153</v>
      </c>
      <c r="C75" s="110" t="str">
        <f>VLOOKUP(B75,'ships name'!A:C,2,FALSE)</f>
        <v>TO BE ADVISED</v>
      </c>
      <c r="D75" s="1566"/>
      <c r="E75" s="1561"/>
      <c r="F75" s="1502"/>
      <c r="G75" s="1562"/>
      <c r="H75" s="1202">
        <f>I75-1</f>
        <v>42841</v>
      </c>
      <c r="I75" s="1202">
        <f t="shared" ref="I75:N75" si="1">I73+7</f>
        <v>42842</v>
      </c>
      <c r="J75" s="1185">
        <f t="shared" si="1"/>
        <v>42843</v>
      </c>
      <c r="K75" s="1553">
        <f>J75+12</f>
        <v>42855</v>
      </c>
      <c r="L75" s="1209">
        <f t="shared" si="1"/>
        <v>42875</v>
      </c>
      <c r="M75" s="1209">
        <f t="shared" si="1"/>
        <v>42878</v>
      </c>
      <c r="N75" s="1209">
        <f t="shared" si="1"/>
        <v>42872</v>
      </c>
      <c r="O75" s="1352"/>
      <c r="P75" s="1371"/>
    </row>
    <row r="76" spans="1:16" ht="21" customHeight="1">
      <c r="A76" s="1223"/>
      <c r="B76" s="1192"/>
      <c r="C76" s="109" t="str">
        <f>VLOOKUP(B75,'ships name'!A:C,3,FALSE)</f>
        <v>TO BE ADVISED</v>
      </c>
      <c r="D76" s="1192"/>
      <c r="E76" s="1507"/>
      <c r="F76" s="1192"/>
      <c r="G76" s="1507"/>
      <c r="H76" s="1187"/>
      <c r="I76" s="1187"/>
      <c r="J76" s="1189"/>
      <c r="K76" s="1554"/>
      <c r="L76" s="1202"/>
      <c r="M76" s="1202"/>
      <c r="N76" s="1202"/>
      <c r="O76" s="1489"/>
      <c r="P76" s="1371"/>
    </row>
    <row r="77" spans="1:16" ht="21" customHeight="1">
      <c r="A77" s="1570" t="str">
        <f>A47</f>
        <v>17</v>
      </c>
      <c r="B77" s="1192" t="s">
        <v>383</v>
      </c>
      <c r="C77" s="110" t="str">
        <f>VLOOKUP(B77,'ships name'!A:C,2,FALSE)</f>
        <v>TRITON</v>
      </c>
      <c r="D77" s="1502"/>
      <c r="E77" s="1561"/>
      <c r="F77" s="1502" t="s">
        <v>384</v>
      </c>
      <c r="G77" s="1561"/>
      <c r="H77" s="1202">
        <f>I77-1</f>
        <v>42848</v>
      </c>
      <c r="I77" s="1202">
        <f t="shared" ref="I77:N77" si="2">I75+7</f>
        <v>42849</v>
      </c>
      <c r="J77" s="1185">
        <f t="shared" si="2"/>
        <v>42850</v>
      </c>
      <c r="K77" s="1553">
        <f>J77+12</f>
        <v>42862</v>
      </c>
      <c r="L77" s="1209">
        <f t="shared" si="2"/>
        <v>42882</v>
      </c>
      <c r="M77" s="1209">
        <f t="shared" si="2"/>
        <v>42885</v>
      </c>
      <c r="N77" s="1209">
        <f t="shared" si="2"/>
        <v>42879</v>
      </c>
      <c r="O77" s="1352"/>
      <c r="P77" s="1371"/>
    </row>
    <row r="78" spans="1:16" ht="21" customHeight="1">
      <c r="A78" s="1223"/>
      <c r="B78" s="1192"/>
      <c r="C78" s="109" t="str">
        <f>VLOOKUP(B77,'ships name'!A:C,3,FALSE)</f>
        <v xml:space="preserve"> </v>
      </c>
      <c r="D78" s="1192"/>
      <c r="E78" s="1507"/>
      <c r="F78" s="1192"/>
      <c r="G78" s="1507"/>
      <c r="H78" s="1187"/>
      <c r="I78" s="1187"/>
      <c r="J78" s="1189"/>
      <c r="K78" s="1554"/>
      <c r="L78" s="1202"/>
      <c r="M78" s="1202"/>
      <c r="N78" s="1202"/>
      <c r="O78" s="1489"/>
      <c r="P78" s="1371"/>
    </row>
    <row r="79" spans="1:16" ht="21" customHeight="1">
      <c r="A79" s="1570" t="str">
        <f>A49</f>
        <v>18</v>
      </c>
      <c r="B79" s="1192" t="s">
        <v>385</v>
      </c>
      <c r="C79" s="110" t="str">
        <f>VLOOKUP(B79,'ships name'!A:C,2,FALSE)</f>
        <v>THALASSA PATRIS</v>
      </c>
      <c r="D79" s="1502"/>
      <c r="E79" s="1507"/>
      <c r="F79" s="1502" t="s">
        <v>386</v>
      </c>
      <c r="G79" s="1507"/>
      <c r="H79" s="1187">
        <f>I79-1</f>
        <v>42855</v>
      </c>
      <c r="I79" s="1187">
        <f t="shared" ref="I79:N79" si="3">I77+7</f>
        <v>42856</v>
      </c>
      <c r="J79" s="1189">
        <f t="shared" si="3"/>
        <v>42857</v>
      </c>
      <c r="K79" s="1553">
        <f>J79+12</f>
        <v>42869</v>
      </c>
      <c r="L79" s="1209">
        <f t="shared" si="3"/>
        <v>42889</v>
      </c>
      <c r="M79" s="1209">
        <f t="shared" si="3"/>
        <v>42892</v>
      </c>
      <c r="N79" s="1209">
        <f t="shared" si="3"/>
        <v>42886</v>
      </c>
      <c r="O79" s="1352"/>
      <c r="P79" s="1371"/>
    </row>
    <row r="80" spans="1:16" ht="21" customHeight="1" thickBot="1">
      <c r="A80" s="1223"/>
      <c r="B80" s="1188"/>
      <c r="C80" s="111" t="str">
        <f>VLOOKUP(B79,'ships name'!A:C,3,FALSE)</f>
        <v xml:space="preserve"> </v>
      </c>
      <c r="D80" s="1188"/>
      <c r="E80" s="1567"/>
      <c r="F80" s="1188"/>
      <c r="G80" s="1567"/>
      <c r="H80" s="1472"/>
      <c r="I80" s="1472"/>
      <c r="J80" s="1191"/>
      <c r="K80" s="1554"/>
      <c r="L80" s="1123"/>
      <c r="M80" s="1123"/>
      <c r="N80" s="1123"/>
      <c r="O80" s="1493"/>
      <c r="P80" s="1371"/>
    </row>
    <row r="81" spans="1:17" ht="19.899999999999999" customHeight="1" thickBot="1">
      <c r="A81" s="1568" t="s">
        <v>387</v>
      </c>
      <c r="B81" s="1569"/>
      <c r="C81" s="1569"/>
      <c r="D81" s="1557" t="s">
        <v>3085</v>
      </c>
      <c r="E81" s="1179"/>
      <c r="F81" s="1179"/>
      <c r="G81" s="1179"/>
      <c r="H81" s="1557" t="s">
        <v>3084</v>
      </c>
      <c r="I81" s="1179"/>
      <c r="J81" s="1179"/>
      <c r="K81" s="143" t="s">
        <v>29</v>
      </c>
      <c r="L81" s="1173" t="s">
        <v>2</v>
      </c>
      <c r="M81" s="1167"/>
      <c r="N81" s="1167"/>
      <c r="O81" s="1167"/>
      <c r="P81" s="164"/>
    </row>
    <row r="82" spans="1:17" ht="19.899999999999999" customHeight="1">
      <c r="A82" s="1091" t="s">
        <v>3</v>
      </c>
      <c r="B82" s="1093" t="s">
        <v>4</v>
      </c>
      <c r="C82" s="1093" t="s">
        <v>5</v>
      </c>
      <c r="D82" s="1093" t="s">
        <v>6</v>
      </c>
      <c r="E82" s="1093"/>
      <c r="F82" s="1093"/>
      <c r="G82" s="1093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91"/>
      <c r="B83" s="1093"/>
      <c r="C83" s="1093"/>
      <c r="D83" s="1093" t="s">
        <v>121</v>
      </c>
      <c r="E83" s="1558" t="s">
        <v>29</v>
      </c>
      <c r="F83" s="1093" t="s">
        <v>122</v>
      </c>
      <c r="G83" s="1558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13"/>
      <c r="B84" s="1498"/>
      <c r="C84" s="1498"/>
      <c r="D84" s="1498"/>
      <c r="E84" s="1559"/>
      <c r="F84" s="1498"/>
      <c r="G84" s="1559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6">
        <f>A71</f>
        <v>14</v>
      </c>
      <c r="B85" s="1229" t="s">
        <v>391</v>
      </c>
      <c r="C85" s="108" t="str">
        <f>VLOOKUP(B85,'ships name'!A:C,2,FALSE)</f>
        <v>CSCL URANUS</v>
      </c>
      <c r="D85" s="1563"/>
      <c r="E85" s="1560" t="s">
        <v>29</v>
      </c>
      <c r="F85" s="1563" t="s">
        <v>392</v>
      </c>
      <c r="G85" s="1560"/>
      <c r="H85" s="1202">
        <f>I85-1</f>
        <v>42825</v>
      </c>
      <c r="I85" s="1202">
        <f>J85-1</f>
        <v>42826</v>
      </c>
      <c r="J85" s="1185">
        <v>42827</v>
      </c>
      <c r="K85" s="1553">
        <f>J85+12</f>
        <v>42839</v>
      </c>
      <c r="L85" s="1542">
        <f>J85+39</f>
        <v>42866</v>
      </c>
      <c r="M85" s="1542">
        <f>J85+42</f>
        <v>42869</v>
      </c>
      <c r="N85" s="1542">
        <f>J85+44</f>
        <v>42871</v>
      </c>
      <c r="O85" s="1542">
        <f>J85+26</f>
        <v>42853</v>
      </c>
      <c r="P85" s="1542">
        <f>J85+34</f>
        <v>42861</v>
      </c>
      <c r="Q85" s="1542">
        <f>J85+36</f>
        <v>42863</v>
      </c>
    </row>
    <row r="86" spans="1:17" ht="21" customHeight="1">
      <c r="A86" s="1223"/>
      <c r="B86" s="1192"/>
      <c r="C86" s="109" t="str">
        <f>VLOOKUP(B85,'ships name'!A:C,3,FALSE)</f>
        <v>中海天王星</v>
      </c>
      <c r="D86" s="1192"/>
      <c r="E86" s="1507"/>
      <c r="F86" s="1192"/>
      <c r="G86" s="1507"/>
      <c r="H86" s="1187"/>
      <c r="I86" s="1187"/>
      <c r="J86" s="1189"/>
      <c r="K86" s="1554"/>
      <c r="L86" s="1202"/>
      <c r="M86" s="1202"/>
      <c r="N86" s="1202"/>
      <c r="O86" s="1202"/>
      <c r="P86" s="1202"/>
      <c r="Q86" s="1202"/>
    </row>
    <row r="87" spans="1:17" ht="21" customHeight="1">
      <c r="A87" s="1570" t="str">
        <f>A73</f>
        <v>15</v>
      </c>
      <c r="B87" s="1230" t="s">
        <v>393</v>
      </c>
      <c r="C87" s="110" t="str">
        <f>VLOOKUP(B87,'ships name'!A:C,2,FALSE)</f>
        <v xml:space="preserve">TALOS </v>
      </c>
      <c r="D87" s="1502"/>
      <c r="E87" s="1561"/>
      <c r="F87" s="1502" t="s">
        <v>394</v>
      </c>
      <c r="G87" s="1561"/>
      <c r="H87" s="1202">
        <f>I87-1</f>
        <v>42832</v>
      </c>
      <c r="I87" s="1202">
        <f t="shared" ref="I87:N87" si="4">I85+7</f>
        <v>42833</v>
      </c>
      <c r="J87" s="1185">
        <f t="shared" si="4"/>
        <v>42834</v>
      </c>
      <c r="K87" s="1553">
        <f>J87+12</f>
        <v>42846</v>
      </c>
      <c r="L87" s="1209">
        <f t="shared" si="4"/>
        <v>42873</v>
      </c>
      <c r="M87" s="1209">
        <f t="shared" si="4"/>
        <v>42876</v>
      </c>
      <c r="N87" s="1209">
        <f t="shared" si="4"/>
        <v>42878</v>
      </c>
      <c r="O87" s="1209">
        <f>J87+26</f>
        <v>42860</v>
      </c>
      <c r="P87" s="1209">
        <f>J87+34</f>
        <v>42868</v>
      </c>
      <c r="Q87" s="1209">
        <f>J87+36</f>
        <v>42870</v>
      </c>
    </row>
    <row r="88" spans="1:17" ht="21" customHeight="1">
      <c r="A88" s="1223"/>
      <c r="B88" s="1192"/>
      <c r="C88" s="109" t="str">
        <f>VLOOKUP(B87,'ships name'!A:C,3,FALSE)</f>
        <v xml:space="preserve"> </v>
      </c>
      <c r="D88" s="1192"/>
      <c r="E88" s="1507"/>
      <c r="F88" s="1192"/>
      <c r="G88" s="1507"/>
      <c r="H88" s="1187"/>
      <c r="I88" s="1187"/>
      <c r="J88" s="1189"/>
      <c r="K88" s="1554"/>
      <c r="L88" s="1202"/>
      <c r="M88" s="1202"/>
      <c r="N88" s="1202"/>
      <c r="O88" s="1202"/>
      <c r="P88" s="1202"/>
      <c r="Q88" s="1202"/>
    </row>
    <row r="89" spans="1:17" ht="21" customHeight="1">
      <c r="A89" s="1570" t="str">
        <f>A75</f>
        <v>16</v>
      </c>
      <c r="B89" s="1192" t="s">
        <v>395</v>
      </c>
      <c r="C89" s="110" t="str">
        <f>VLOOKUP(B89,'ships name'!A:C,2,FALSE)</f>
        <v xml:space="preserve">THALASSA AVRA </v>
      </c>
      <c r="D89" s="1566"/>
      <c r="E89" s="1561"/>
      <c r="F89" s="1502">
        <v>101</v>
      </c>
      <c r="G89" s="1562"/>
      <c r="H89" s="1202">
        <f>I89-1</f>
        <v>42839</v>
      </c>
      <c r="I89" s="1202">
        <f t="shared" ref="I89:N89" si="5">I87+7</f>
        <v>42840</v>
      </c>
      <c r="J89" s="1185">
        <f t="shared" si="5"/>
        <v>42841</v>
      </c>
      <c r="K89" s="1553">
        <f>J89+12</f>
        <v>42853</v>
      </c>
      <c r="L89" s="1209">
        <f t="shared" si="5"/>
        <v>42880</v>
      </c>
      <c r="M89" s="1209">
        <f t="shared" si="5"/>
        <v>42883</v>
      </c>
      <c r="N89" s="1209">
        <f t="shared" si="5"/>
        <v>42885</v>
      </c>
      <c r="O89" s="1209">
        <f>J89+26</f>
        <v>42867</v>
      </c>
      <c r="P89" s="1209">
        <f>J89+34</f>
        <v>42875</v>
      </c>
      <c r="Q89" s="1209">
        <f>J89+36</f>
        <v>42877</v>
      </c>
    </row>
    <row r="90" spans="1:17" ht="21" customHeight="1">
      <c r="A90" s="1223"/>
      <c r="B90" s="1192"/>
      <c r="C90" s="109" t="str">
        <f>VLOOKUP(B89,'ships name'!A:C,3,FALSE)</f>
        <v xml:space="preserve"> </v>
      </c>
      <c r="D90" s="1192"/>
      <c r="E90" s="1507"/>
      <c r="F90" s="1192"/>
      <c r="G90" s="1507"/>
      <c r="H90" s="1187"/>
      <c r="I90" s="1187"/>
      <c r="J90" s="1189"/>
      <c r="K90" s="1554"/>
      <c r="L90" s="1202"/>
      <c r="M90" s="1202"/>
      <c r="N90" s="1202"/>
      <c r="O90" s="1202"/>
      <c r="P90" s="1202"/>
      <c r="Q90" s="1202"/>
    </row>
    <row r="91" spans="1:17" ht="21" customHeight="1">
      <c r="A91" s="1570" t="str">
        <f>A77</f>
        <v>17</v>
      </c>
      <c r="B91" s="1192" t="s">
        <v>396</v>
      </c>
      <c r="C91" s="110" t="str">
        <f>VLOOKUP(B91,'ships name'!A:C,2,FALSE)</f>
        <v xml:space="preserve">CSCL JUPITER </v>
      </c>
      <c r="D91" s="1502"/>
      <c r="E91" s="1561"/>
      <c r="F91" s="1502">
        <v>103</v>
      </c>
      <c r="G91" s="1561"/>
      <c r="H91" s="1202">
        <f>I91-1</f>
        <v>42846</v>
      </c>
      <c r="I91" s="1202">
        <f t="shared" ref="I91:N91" si="6">I89+7</f>
        <v>42847</v>
      </c>
      <c r="J91" s="1185">
        <f t="shared" si="6"/>
        <v>42848</v>
      </c>
      <c r="K91" s="1553">
        <f>J91+12</f>
        <v>42860</v>
      </c>
      <c r="L91" s="1209">
        <f t="shared" si="6"/>
        <v>42887</v>
      </c>
      <c r="M91" s="1209">
        <f t="shared" si="6"/>
        <v>42890</v>
      </c>
      <c r="N91" s="1209">
        <f t="shared" si="6"/>
        <v>42892</v>
      </c>
      <c r="O91" s="1209">
        <f>J91+26</f>
        <v>42874</v>
      </c>
      <c r="P91" s="1209">
        <f>J91+34</f>
        <v>42882</v>
      </c>
      <c r="Q91" s="1209">
        <f>J91+36</f>
        <v>42884</v>
      </c>
    </row>
    <row r="92" spans="1:17" ht="21" customHeight="1">
      <c r="A92" s="1223"/>
      <c r="B92" s="1192"/>
      <c r="C92" s="109" t="str">
        <f>VLOOKUP(B91,'ships name'!A:C,3,FALSE)</f>
        <v>中海木星</v>
      </c>
      <c r="D92" s="1192"/>
      <c r="E92" s="1507"/>
      <c r="F92" s="1192"/>
      <c r="G92" s="1507"/>
      <c r="H92" s="1187"/>
      <c r="I92" s="1187"/>
      <c r="J92" s="1189"/>
      <c r="K92" s="1554"/>
      <c r="L92" s="1202"/>
      <c r="M92" s="1202"/>
      <c r="N92" s="1202"/>
      <c r="O92" s="1202"/>
      <c r="P92" s="1202"/>
      <c r="Q92" s="1202"/>
    </row>
    <row r="93" spans="1:17" ht="21" customHeight="1">
      <c r="A93" s="1570" t="str">
        <f>A79</f>
        <v>18</v>
      </c>
      <c r="B93" s="1192" t="s">
        <v>397</v>
      </c>
      <c r="C93" s="110" t="str">
        <f>VLOOKUP(B93,'ships name'!A:C,2,FALSE)</f>
        <v xml:space="preserve">TOKYO TRIUMPH </v>
      </c>
      <c r="D93" s="1502"/>
      <c r="E93" s="1507"/>
      <c r="F93" s="1502">
        <v>105</v>
      </c>
      <c r="G93" s="1507"/>
      <c r="H93" s="1187">
        <f>I93-1</f>
        <v>42853</v>
      </c>
      <c r="I93" s="1187">
        <f t="shared" ref="I93:N93" si="7">I91+7</f>
        <v>42854</v>
      </c>
      <c r="J93" s="1189">
        <f t="shared" si="7"/>
        <v>42855</v>
      </c>
      <c r="K93" s="1553">
        <f>J93+12</f>
        <v>42867</v>
      </c>
      <c r="L93" s="1209">
        <f t="shared" si="7"/>
        <v>42894</v>
      </c>
      <c r="M93" s="1209">
        <f t="shared" si="7"/>
        <v>42897</v>
      </c>
      <c r="N93" s="1209">
        <f t="shared" si="7"/>
        <v>42899</v>
      </c>
      <c r="O93" s="1209">
        <f>J93+26</f>
        <v>42881</v>
      </c>
      <c r="P93" s="1209">
        <f>J93+34</f>
        <v>42889</v>
      </c>
      <c r="Q93" s="1209">
        <f>J93+36</f>
        <v>42891</v>
      </c>
    </row>
    <row r="94" spans="1:17" ht="21" customHeight="1" thickBot="1">
      <c r="A94" s="1223"/>
      <c r="B94" s="1188"/>
      <c r="C94" s="111" t="str">
        <f>VLOOKUP(B93,'ships name'!A:C,3,FALSE)</f>
        <v xml:space="preserve"> </v>
      </c>
      <c r="D94" s="1188"/>
      <c r="E94" s="1567"/>
      <c r="F94" s="1188"/>
      <c r="G94" s="1567"/>
      <c r="H94" s="1472"/>
      <c r="I94" s="1472"/>
      <c r="J94" s="1191"/>
      <c r="K94" s="1554"/>
      <c r="L94" s="1123"/>
      <c r="M94" s="1123"/>
      <c r="N94" s="1123"/>
      <c r="O94" s="1123"/>
      <c r="P94" s="1123"/>
      <c r="Q94" s="1123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3" t="s">
        <v>0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</row>
    <row r="3" spans="1:17" ht="28.15" customHeight="1">
      <c r="A3" s="1603"/>
      <c r="B3" s="1603"/>
      <c r="C3" s="1603"/>
      <c r="D3" s="1603"/>
      <c r="E3" s="1603"/>
      <c r="F3" s="1603"/>
      <c r="G3" s="1603"/>
      <c r="H3" s="1603"/>
      <c r="I3" s="1603"/>
      <c r="J3" s="1603"/>
      <c r="K3" s="1603"/>
      <c r="L3" s="1603"/>
      <c r="M3" s="1603"/>
      <c r="N3" s="1603"/>
      <c r="O3" s="1603"/>
    </row>
    <row r="4" spans="1:17" ht="28.15" customHeight="1">
      <c r="A4" s="1533" t="str">
        <f>MED!A4</f>
        <v>2019年06月船期表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</row>
    <row r="5" spans="1:17" ht="28.15" customHeight="1" thickBot="1"/>
    <row r="6" spans="1:17" ht="25.9" customHeight="1" thickBot="1">
      <c r="A6" s="1235" t="s">
        <v>326</v>
      </c>
      <c r="B6" s="1236"/>
      <c r="C6" s="1236"/>
      <c r="D6" s="507"/>
      <c r="E6" s="1522" t="s">
        <v>3214</v>
      </c>
      <c r="F6" s="1522"/>
      <c r="G6" s="1522"/>
      <c r="H6" s="1522" t="s">
        <v>3087</v>
      </c>
      <c r="I6" s="1522"/>
      <c r="J6" s="1523"/>
      <c r="K6" s="1595" t="s">
        <v>2</v>
      </c>
      <c r="L6" s="1596"/>
      <c r="M6" s="1596"/>
      <c r="N6" s="1596"/>
      <c r="O6" s="1596"/>
      <c r="P6" s="1596"/>
      <c r="Q6" s="1597"/>
    </row>
    <row r="7" spans="1:17" ht="19.899999999999999" customHeight="1">
      <c r="A7" s="1425" t="s">
        <v>3</v>
      </c>
      <c r="B7" s="1427" t="s">
        <v>4</v>
      </c>
      <c r="C7" s="1427" t="s">
        <v>5</v>
      </c>
      <c r="D7" s="1150" t="s">
        <v>4291</v>
      </c>
      <c r="E7" s="1151" t="s">
        <v>6</v>
      </c>
      <c r="F7" s="1152"/>
      <c r="G7" s="1153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5"/>
      <c r="B8" s="1427"/>
      <c r="C8" s="1427"/>
      <c r="D8" s="1094"/>
      <c r="E8" s="1240" t="s">
        <v>13</v>
      </c>
      <c r="F8" s="1450" t="s">
        <v>14</v>
      </c>
      <c r="G8" s="1451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6"/>
      <c r="B9" s="1428"/>
      <c r="C9" s="1428"/>
      <c r="D9" s="1095"/>
      <c r="E9" s="1220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4877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4882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4878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4883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4879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4884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4880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4885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4881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4886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235" t="s">
        <v>346</v>
      </c>
      <c r="B16" s="1236"/>
      <c r="C16" s="1236"/>
      <c r="D16" s="507"/>
      <c r="E16" s="1522" t="s">
        <v>4056</v>
      </c>
      <c r="F16" s="1522"/>
      <c r="G16" s="1522"/>
      <c r="H16" s="1522" t="s">
        <v>152</v>
      </c>
      <c r="I16" s="1522"/>
      <c r="J16" s="1523"/>
      <c r="K16" s="1602" t="s">
        <v>2</v>
      </c>
      <c r="L16" s="1600"/>
      <c r="M16" s="1600"/>
      <c r="N16" s="1600"/>
      <c r="O16" s="1601"/>
    </row>
    <row r="17" spans="1:16" ht="19.899999999999999" customHeight="1">
      <c r="A17" s="1425" t="s">
        <v>3</v>
      </c>
      <c r="B17" s="1427" t="s">
        <v>4</v>
      </c>
      <c r="C17" s="1427" t="s">
        <v>5</v>
      </c>
      <c r="D17" s="1150" t="s">
        <v>4291</v>
      </c>
      <c r="E17" s="1151" t="s">
        <v>6</v>
      </c>
      <c r="F17" s="1152"/>
      <c r="G17" s="1153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5"/>
      <c r="B18" s="1427"/>
      <c r="C18" s="1427"/>
      <c r="D18" s="1094"/>
      <c r="E18" s="1240" t="s">
        <v>13</v>
      </c>
      <c r="F18" s="1450" t="s">
        <v>14</v>
      </c>
      <c r="G18" s="1451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6"/>
      <c r="B19" s="1428"/>
      <c r="C19" s="1428"/>
      <c r="D19" s="1095"/>
      <c r="E19" s="1220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4547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4548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4887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4891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4888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4892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4889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4893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4890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4894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89" t="s">
        <v>358</v>
      </c>
      <c r="B26" s="1590"/>
      <c r="C26" s="1590"/>
      <c r="D26" s="782"/>
      <c r="E26" s="1593" t="s">
        <v>3214</v>
      </c>
      <c r="F26" s="1593"/>
      <c r="G26" s="1593"/>
      <c r="H26" s="1593" t="s">
        <v>3087</v>
      </c>
      <c r="I26" s="1593"/>
      <c r="J26" s="1594"/>
      <c r="K26" s="1599" t="s">
        <v>2</v>
      </c>
      <c r="L26" s="1600"/>
      <c r="M26" s="1600"/>
      <c r="N26" s="1600"/>
      <c r="O26" s="1601"/>
    </row>
    <row r="27" spans="1:16" ht="19.899999999999999" customHeight="1">
      <c r="A27" s="1226" t="s">
        <v>3</v>
      </c>
      <c r="B27" s="1251" t="s">
        <v>4</v>
      </c>
      <c r="C27" s="1251" t="s">
        <v>5</v>
      </c>
      <c r="D27" s="1150" t="s">
        <v>4291</v>
      </c>
      <c r="E27" s="1151" t="s">
        <v>6</v>
      </c>
      <c r="F27" s="1152"/>
      <c r="G27" s="1153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5"/>
      <c r="B28" s="1427"/>
      <c r="C28" s="1427"/>
      <c r="D28" s="1094"/>
      <c r="E28" s="1240" t="s">
        <v>13</v>
      </c>
      <c r="F28" s="1450" t="s">
        <v>14</v>
      </c>
      <c r="G28" s="1451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6"/>
      <c r="B29" s="1428"/>
      <c r="C29" s="1428"/>
      <c r="D29" s="1095"/>
      <c r="E29" s="1220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4895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4900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4896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4901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4897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4902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4898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4903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4899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4904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5" t="s">
        <v>369</v>
      </c>
      <c r="B36" s="1236"/>
      <c r="C36" s="1236"/>
      <c r="D36" s="507"/>
      <c r="E36" s="1522" t="s">
        <v>3260</v>
      </c>
      <c r="F36" s="1522"/>
      <c r="G36" s="1522"/>
      <c r="H36" s="1522" t="s">
        <v>3087</v>
      </c>
      <c r="I36" s="1522"/>
      <c r="J36" s="1598"/>
      <c r="K36" s="1595" t="s">
        <v>2</v>
      </c>
      <c r="L36" s="1596"/>
      <c r="M36" s="1596"/>
      <c r="N36" s="1596"/>
      <c r="O36" s="1596"/>
      <c r="P36" s="1597"/>
    </row>
    <row r="37" spans="1:16" ht="19.899999999999999" customHeight="1">
      <c r="A37" s="1425" t="s">
        <v>3</v>
      </c>
      <c r="B37" s="1427" t="s">
        <v>4</v>
      </c>
      <c r="C37" s="1427" t="s">
        <v>5</v>
      </c>
      <c r="D37" s="1150" t="s">
        <v>4291</v>
      </c>
      <c r="E37" s="1151" t="s">
        <v>6</v>
      </c>
      <c r="F37" s="1152"/>
      <c r="G37" s="1153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5"/>
      <c r="B38" s="1427"/>
      <c r="C38" s="1427"/>
      <c r="D38" s="1094"/>
      <c r="E38" s="1240" t="s">
        <v>13</v>
      </c>
      <c r="F38" s="1450" t="s">
        <v>14</v>
      </c>
      <c r="G38" s="1451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6"/>
      <c r="B39" s="1428"/>
      <c r="C39" s="1428"/>
      <c r="D39" s="1095"/>
      <c r="E39" s="1220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4905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4908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619" t="s">
        <v>4599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4909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4906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4910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4907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4911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620" t="s">
        <v>4913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4912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5" t="s">
        <v>375</v>
      </c>
      <c r="B48" s="1236"/>
      <c r="C48" s="1236"/>
      <c r="D48" s="507"/>
      <c r="E48" s="1522" t="s">
        <v>3265</v>
      </c>
      <c r="F48" s="1522"/>
      <c r="G48" s="1522"/>
      <c r="H48" s="1522" t="s">
        <v>3087</v>
      </c>
      <c r="I48" s="1522"/>
      <c r="J48" s="1523"/>
      <c r="K48" s="1586" t="s">
        <v>2</v>
      </c>
      <c r="L48" s="1587"/>
      <c r="M48" s="1587"/>
      <c r="N48" s="1588"/>
      <c r="O48" s="424"/>
    </row>
    <row r="49" spans="1:16" ht="19.899999999999999" customHeight="1">
      <c r="A49" s="1425" t="s">
        <v>3</v>
      </c>
      <c r="B49" s="1427" t="s">
        <v>4</v>
      </c>
      <c r="C49" s="1427" t="s">
        <v>5</v>
      </c>
      <c r="D49" s="1150" t="s">
        <v>4291</v>
      </c>
      <c r="E49" s="1151" t="s">
        <v>6</v>
      </c>
      <c r="F49" s="1152"/>
      <c r="G49" s="1153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5"/>
      <c r="B50" s="1427"/>
      <c r="C50" s="1427"/>
      <c r="D50" s="1094"/>
      <c r="E50" s="1240" t="s">
        <v>13</v>
      </c>
      <c r="F50" s="1450" t="s">
        <v>14</v>
      </c>
      <c r="G50" s="1451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6"/>
      <c r="B51" s="1428"/>
      <c r="C51" s="1428"/>
      <c r="D51" s="1095"/>
      <c r="E51" s="1220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4914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4919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4915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4920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4916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4921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4917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4922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4918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4923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89" t="s">
        <v>4507</v>
      </c>
      <c r="B58" s="1590"/>
      <c r="C58" s="1590"/>
      <c r="D58" s="782"/>
      <c r="E58" s="1591" t="s">
        <v>4509</v>
      </c>
      <c r="F58" s="1252"/>
      <c r="G58" s="1592"/>
      <c r="H58" s="1593" t="s">
        <v>4508</v>
      </c>
      <c r="I58" s="1593"/>
      <c r="J58" s="1594"/>
      <c r="K58" s="1035" t="s">
        <v>2</v>
      </c>
      <c r="L58" s="1535" t="s">
        <v>2</v>
      </c>
      <c r="M58" s="1535"/>
      <c r="N58" s="1586"/>
    </row>
    <row r="59" spans="1:16" ht="19.899999999999999" customHeight="1">
      <c r="A59" s="1226" t="s">
        <v>3</v>
      </c>
      <c r="B59" s="1251" t="s">
        <v>4</v>
      </c>
      <c r="C59" s="1251" t="s">
        <v>5</v>
      </c>
      <c r="D59" s="1150" t="s">
        <v>4291</v>
      </c>
      <c r="E59" s="1151" t="s">
        <v>6</v>
      </c>
      <c r="F59" s="1152"/>
      <c r="G59" s="1153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5"/>
      <c r="B60" s="1427"/>
      <c r="C60" s="1427"/>
      <c r="D60" s="1094"/>
      <c r="E60" s="1240" t="s">
        <v>13</v>
      </c>
      <c r="F60" s="1450" t="s">
        <v>14</v>
      </c>
      <c r="G60" s="1451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6"/>
      <c r="B61" s="1428"/>
      <c r="C61" s="1428"/>
      <c r="D61" s="1095"/>
      <c r="E61" s="1220"/>
      <c r="F61" s="605" t="s">
        <v>4292</v>
      </c>
      <c r="G61" s="536" t="s">
        <v>4293</v>
      </c>
      <c r="H61" s="997" t="s">
        <v>4510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4549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4550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4925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4929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4926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4930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4927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4931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4928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4932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4" t="s">
        <v>399</v>
      </c>
      <c r="C1" s="1605"/>
      <c r="D1" s="1605"/>
      <c r="E1" s="1606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7" t="s">
        <v>432</v>
      </c>
      <c r="C13" s="1608"/>
      <c r="D13" s="1608"/>
      <c r="E13" s="1608"/>
      <c r="F13" s="1608"/>
      <c r="G13" s="1608"/>
      <c r="H13" s="1608"/>
      <c r="I13" s="1608"/>
      <c r="J13" s="1608"/>
      <c r="K13" s="1608"/>
      <c r="L13" s="1608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9" t="s">
        <v>495</v>
      </c>
      <c r="C25" s="1610"/>
      <c r="D25" s="1610"/>
      <c r="E25" s="1610"/>
      <c r="F25" s="1610"/>
      <c r="G25" s="1610"/>
      <c r="H25" s="1610"/>
      <c r="I25" s="1610"/>
      <c r="J25" s="1610"/>
      <c r="K25" s="1611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15"/>
  <sheetViews>
    <sheetView topLeftCell="A2081" zoomScale="85" zoomScaleNormal="85" workbookViewId="0">
      <selection activeCell="G2115" sqref="G211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2" t="s">
        <v>86</v>
      </c>
      <c r="C2" s="1612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2" t="s">
        <v>499</v>
      </c>
      <c r="C53" s="1612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3" t="s">
        <v>500</v>
      </c>
      <c r="C88" s="1614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3" t="s">
        <v>568</v>
      </c>
      <c r="C104" s="1614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2" t="s">
        <v>798</v>
      </c>
      <c r="C117" s="1612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3" t="s">
        <v>530</v>
      </c>
      <c r="C157" s="1614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7" t="s">
        <v>926</v>
      </c>
      <c r="C168" s="1618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2" t="s">
        <v>798</v>
      </c>
      <c r="C194" s="1612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2" t="s">
        <v>102</v>
      </c>
      <c r="C231" s="1612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7" t="s">
        <v>1125</v>
      </c>
      <c r="C255" s="1618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5" t="s">
        <v>499</v>
      </c>
      <c r="C295" s="1615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6" t="s">
        <v>1228</v>
      </c>
      <c r="C331" s="1616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3" t="s">
        <v>1300</v>
      </c>
      <c r="C371" s="1614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2" t="s">
        <v>434</v>
      </c>
      <c r="C397" s="1612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6" t="s">
        <v>1449</v>
      </c>
      <c r="C447" s="1616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2" t="s">
        <v>1488</v>
      </c>
      <c r="C477" s="1612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3" t="s">
        <v>1581</v>
      </c>
      <c r="C518" s="1614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2" t="s">
        <v>433</v>
      </c>
      <c r="C522" s="1612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2" t="s">
        <v>1676</v>
      </c>
      <c r="C588" s="1612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3" t="s">
        <v>1683</v>
      </c>
      <c r="C628" s="1614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3" t="s">
        <v>501</v>
      </c>
      <c r="C657" s="1614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2" t="s">
        <v>498</v>
      </c>
      <c r="C684" s="1612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3" t="s">
        <v>1925</v>
      </c>
      <c r="C736" s="1614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3" t="s">
        <v>401</v>
      </c>
      <c r="C759" s="1614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2" t="s">
        <v>402</v>
      </c>
      <c r="C831" s="1612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2" t="s">
        <v>2146</v>
      </c>
      <c r="C910" s="1612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4598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4464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4431</v>
      </c>
      <c r="B2055" s="2" t="s">
        <v>4432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4434</v>
      </c>
      <c r="B2057" s="374" t="s">
        <v>4435</v>
      </c>
      <c r="C2057" s="373" t="s">
        <v>29</v>
      </c>
    </row>
    <row r="2058" spans="1:3">
      <c r="A2058" s="2" t="s">
        <v>4436</v>
      </c>
      <c r="B2058" s="2" t="s">
        <v>2809</v>
      </c>
      <c r="C2058" s="61" t="s">
        <v>4437</v>
      </c>
    </row>
    <row r="2059" spans="1:3">
      <c r="A2059" s="2" t="s">
        <v>4438</v>
      </c>
      <c r="B2059" s="2" t="s">
        <v>3436</v>
      </c>
    </row>
    <row r="2060" spans="1:3" ht="15">
      <c r="A2060" s="375" t="s">
        <v>4449</v>
      </c>
      <c r="B2060" s="2" t="s">
        <v>3834</v>
      </c>
      <c r="C2060" s="967" t="s">
        <v>4439</v>
      </c>
    </row>
    <row r="2061" spans="1:3" ht="15">
      <c r="A2061" s="2" t="s">
        <v>3916</v>
      </c>
      <c r="B2061" s="968" t="s">
        <v>3917</v>
      </c>
      <c r="C2061" s="968" t="s">
        <v>4440</v>
      </c>
    </row>
    <row r="2062" spans="1:3" ht="15">
      <c r="A2062" s="2" t="s">
        <v>4095</v>
      </c>
      <c r="B2062" s="968" t="s">
        <v>4094</v>
      </c>
      <c r="C2062" s="968" t="s">
        <v>4441</v>
      </c>
    </row>
    <row r="2063" spans="1:3" ht="15">
      <c r="A2063" s="2" t="s">
        <v>4181</v>
      </c>
      <c r="B2063" s="969" t="s">
        <v>4182</v>
      </c>
      <c r="C2063" s="969" t="s">
        <v>4442</v>
      </c>
    </row>
    <row r="2064" spans="1:3" ht="15">
      <c r="A2064" s="2" t="s">
        <v>3839</v>
      </c>
      <c r="B2064" s="967" t="s">
        <v>3840</v>
      </c>
      <c r="C2064" s="967" t="s">
        <v>4443</v>
      </c>
    </row>
    <row r="2065" spans="1:3" ht="15">
      <c r="A2065" s="2" t="s">
        <v>3992</v>
      </c>
      <c r="B2065" s="968" t="s">
        <v>3993</v>
      </c>
      <c r="C2065" s="968" t="s">
        <v>4444</v>
      </c>
    </row>
    <row r="2066" spans="1:3" ht="15">
      <c r="A2066" s="2" t="s">
        <v>4234</v>
      </c>
      <c r="B2066" s="969" t="s">
        <v>4235</v>
      </c>
      <c r="C2066" s="969" t="s">
        <v>4445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4446</v>
      </c>
    </row>
    <row r="2069" spans="1:3" ht="15">
      <c r="A2069" s="2" t="s">
        <v>3994</v>
      </c>
      <c r="B2069" s="967" t="s">
        <v>3995</v>
      </c>
      <c r="C2069" s="967" t="s">
        <v>4447</v>
      </c>
    </row>
    <row r="2070" spans="1:3" ht="15">
      <c r="A2070" s="2" t="s">
        <v>4247</v>
      </c>
      <c r="B2070" s="969" t="s">
        <v>4248</v>
      </c>
      <c r="C2070" s="969" t="s">
        <v>4448</v>
      </c>
    </row>
    <row r="2071" spans="1:3">
      <c r="A2071" s="2" t="s">
        <v>4451</v>
      </c>
      <c r="B2071" s="2" t="s">
        <v>4452</v>
      </c>
      <c r="C2071" s="2" t="s">
        <v>4453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4457</v>
      </c>
      <c r="B2073" s="980" t="s">
        <v>4458</v>
      </c>
      <c r="C2073" s="980" t="s">
        <v>29</v>
      </c>
    </row>
    <row r="2074" spans="1:3">
      <c r="A2074" s="373" t="s">
        <v>4465</v>
      </c>
      <c r="B2074" s="374" t="s">
        <v>4466</v>
      </c>
      <c r="C2074" s="373" t="s">
        <v>29</v>
      </c>
    </row>
    <row r="2075" spans="1:3">
      <c r="A2075" s="373" t="s">
        <v>4467</v>
      </c>
      <c r="B2075" s="374" t="s">
        <v>4468</v>
      </c>
      <c r="C2075" s="373" t="s">
        <v>29</v>
      </c>
    </row>
    <row r="2076" spans="1:3">
      <c r="A2076" s="373" t="s">
        <v>4469</v>
      </c>
      <c r="B2076" s="374" t="s">
        <v>4470</v>
      </c>
      <c r="C2076" s="373" t="s">
        <v>29</v>
      </c>
    </row>
    <row r="2077" spans="1:3">
      <c r="A2077" s="373" t="s">
        <v>4473</v>
      </c>
      <c r="B2077" s="374" t="s">
        <v>4021</v>
      </c>
      <c r="C2077" s="373" t="s">
        <v>29</v>
      </c>
    </row>
    <row r="2078" spans="1:3" ht="15">
      <c r="A2078" s="445" t="s">
        <v>4474</v>
      </c>
      <c r="B2078" s="445" t="s">
        <v>2486</v>
      </c>
      <c r="C2078" s="445" t="s">
        <v>4475</v>
      </c>
    </row>
    <row r="2079" spans="1:3">
      <c r="A2079" s="373" t="s">
        <v>4476</v>
      </c>
      <c r="B2079" s="374" t="s">
        <v>4477</v>
      </c>
      <c r="C2079" s="373" t="s">
        <v>29</v>
      </c>
    </row>
    <row r="2080" spans="1:3">
      <c r="A2080" s="373" t="s">
        <v>4478</v>
      </c>
      <c r="B2080" s="374" t="s">
        <v>2713</v>
      </c>
      <c r="C2080" s="373" t="s">
        <v>2714</v>
      </c>
    </row>
    <row r="2081" spans="1:3">
      <c r="A2081" s="980" t="s">
        <v>4479</v>
      </c>
      <c r="B2081" s="980" t="s">
        <v>4480</v>
      </c>
      <c r="C2081" s="980" t="s">
        <v>29</v>
      </c>
    </row>
    <row r="2082" spans="1:3">
      <c r="A2082" s="373" t="s">
        <v>4473</v>
      </c>
      <c r="B2082" s="374" t="s">
        <v>4021</v>
      </c>
      <c r="C2082" s="373" t="s">
        <v>29</v>
      </c>
    </row>
    <row r="2083" spans="1:3">
      <c r="A2083" s="373" t="s">
        <v>4481</v>
      </c>
      <c r="B2083" s="374" t="s">
        <v>2757</v>
      </c>
      <c r="C2083" s="373"/>
    </row>
    <row r="2084" spans="1:3">
      <c r="A2084" s="373" t="s">
        <v>4482</v>
      </c>
      <c r="B2084" s="374" t="s">
        <v>2702</v>
      </c>
      <c r="C2084" s="373" t="s">
        <v>29</v>
      </c>
    </row>
    <row r="2085" spans="1:3">
      <c r="A2085" s="373" t="s">
        <v>4483</v>
      </c>
      <c r="B2085" s="374" t="s">
        <v>644</v>
      </c>
      <c r="C2085" s="373" t="s">
        <v>29</v>
      </c>
    </row>
    <row r="2086" spans="1:3">
      <c r="A2086" s="2" t="s">
        <v>4484</v>
      </c>
      <c r="B2086" s="2" t="s">
        <v>4485</v>
      </c>
      <c r="C2086" s="2" t="s">
        <v>29</v>
      </c>
    </row>
    <row r="2087" spans="1:3">
      <c r="A2087" s="2" t="s">
        <v>4489</v>
      </c>
      <c r="B2087" s="2" t="s">
        <v>4486</v>
      </c>
    </row>
    <row r="2088" spans="1:3">
      <c r="A2088" s="2" t="s">
        <v>4491</v>
      </c>
      <c r="B2088" s="2" t="s">
        <v>4487</v>
      </c>
    </row>
    <row r="2089" spans="1:3">
      <c r="A2089" s="2" t="s">
        <v>4490</v>
      </c>
      <c r="B2089" s="2" t="s">
        <v>4488</v>
      </c>
    </row>
    <row r="2090" spans="1:3">
      <c r="A2090" s="2" t="s">
        <v>4505</v>
      </c>
      <c r="B2090" s="2" t="s">
        <v>4506</v>
      </c>
      <c r="C2090" s="2" t="s">
        <v>29</v>
      </c>
    </row>
    <row r="2091" spans="1:3">
      <c r="A2091" s="2" t="s">
        <v>4511</v>
      </c>
      <c r="B2091" s="2" t="s">
        <v>4369</v>
      </c>
      <c r="C2091" s="2" t="s">
        <v>29</v>
      </c>
    </row>
    <row r="2092" spans="1:3">
      <c r="A2092" s="2" t="s">
        <v>4512</v>
      </c>
      <c r="B2092" s="2" t="s">
        <v>4513</v>
      </c>
      <c r="C2092" s="61" t="s">
        <v>29</v>
      </c>
    </row>
    <row r="2093" spans="1:3">
      <c r="A2093" s="2" t="s">
        <v>4514</v>
      </c>
      <c r="B2093" s="2" t="s">
        <v>3578</v>
      </c>
      <c r="C2093" s="61" t="s">
        <v>29</v>
      </c>
    </row>
    <row r="2094" spans="1:3">
      <c r="A2094" s="2" t="s">
        <v>4515</v>
      </c>
      <c r="B2094" s="2" t="s">
        <v>4516</v>
      </c>
      <c r="C2094" s="61" t="s">
        <v>29</v>
      </c>
    </row>
    <row r="2095" spans="1:3">
      <c r="A2095" s="2" t="s">
        <v>4517</v>
      </c>
      <c r="B2095" s="2" t="s">
        <v>4518</v>
      </c>
      <c r="C2095" s="61" t="s">
        <v>29</v>
      </c>
    </row>
    <row r="2096" spans="1:3">
      <c r="A2096" s="980" t="s">
        <v>4519</v>
      </c>
      <c r="B2096" s="980" t="s">
        <v>2757</v>
      </c>
      <c r="C2096" s="980" t="s">
        <v>2758</v>
      </c>
    </row>
    <row r="2097" spans="1:3">
      <c r="A2097" s="373" t="s">
        <v>4520</v>
      </c>
      <c r="B2097" s="374" t="s">
        <v>4521</v>
      </c>
      <c r="C2097" s="373" t="s">
        <v>29</v>
      </c>
    </row>
    <row r="2098" spans="1:3">
      <c r="A2098" s="2" t="s">
        <v>4522</v>
      </c>
      <c r="B2098" s="2" t="s">
        <v>4523</v>
      </c>
      <c r="C2098" s="61" t="s">
        <v>29</v>
      </c>
    </row>
    <row r="2099" spans="1:3">
      <c r="A2099" s="373" t="s">
        <v>4525</v>
      </c>
      <c r="B2099" s="374" t="s">
        <v>4526</v>
      </c>
      <c r="C2099" s="373" t="s">
        <v>29</v>
      </c>
    </row>
    <row r="2100" spans="1:3">
      <c r="A2100" s="373" t="s">
        <v>4527</v>
      </c>
      <c r="B2100" s="374" t="s">
        <v>3759</v>
      </c>
      <c r="C2100" s="373" t="s">
        <v>29</v>
      </c>
    </row>
    <row r="2101" spans="1:3">
      <c r="A2101" s="373" t="s">
        <v>4529</v>
      </c>
      <c r="B2101" s="374" t="s">
        <v>2887</v>
      </c>
      <c r="C2101" s="373" t="s">
        <v>29</v>
      </c>
    </row>
    <row r="2102" spans="1:3">
      <c r="A2102" s="2" t="s">
        <v>4573</v>
      </c>
      <c r="B2102" s="2" t="s">
        <v>4571</v>
      </c>
      <c r="C2102" s="61" t="s">
        <v>29</v>
      </c>
    </row>
    <row r="2103" spans="1:3">
      <c r="A2103" s="373" t="s">
        <v>4578</v>
      </c>
      <c r="B2103" s="374" t="s">
        <v>2580</v>
      </c>
      <c r="C2103" s="373" t="s">
        <v>29</v>
      </c>
    </row>
    <row r="2104" spans="1:3">
      <c r="A2104" s="2" t="s">
        <v>4581</v>
      </c>
      <c r="B2104" s="2" t="s">
        <v>4580</v>
      </c>
    </row>
    <row r="2105" spans="1:3">
      <c r="A2105" s="373" t="s">
        <v>4582</v>
      </c>
      <c r="B2105" s="374" t="s">
        <v>4583</v>
      </c>
      <c r="C2105" s="373" t="s">
        <v>29</v>
      </c>
    </row>
    <row r="2106" spans="1:3">
      <c r="A2106" s="2" t="s">
        <v>4584</v>
      </c>
      <c r="B2106" s="2" t="s">
        <v>3986</v>
      </c>
      <c r="C2106" s="2" t="s">
        <v>29</v>
      </c>
    </row>
    <row r="2107" spans="1:3">
      <c r="A2107" s="373" t="s">
        <v>4585</v>
      </c>
      <c r="B2107" s="374" t="s">
        <v>4586</v>
      </c>
      <c r="C2107" s="373" t="s">
        <v>29</v>
      </c>
    </row>
    <row r="2108" spans="1:3">
      <c r="A2108" s="373" t="s">
        <v>4589</v>
      </c>
      <c r="B2108" s="374" t="s">
        <v>4070</v>
      </c>
      <c r="C2108" s="373" t="s">
        <v>29</v>
      </c>
    </row>
    <row r="2109" spans="1:3">
      <c r="A2109" s="2" t="s">
        <v>4590</v>
      </c>
      <c r="B2109" s="2" t="s">
        <v>4591</v>
      </c>
      <c r="C2109" s="2" t="s">
        <v>29</v>
      </c>
    </row>
    <row r="2110" spans="1:3">
      <c r="A2110" s="2" t="s">
        <v>4593</v>
      </c>
      <c r="B2110" s="2" t="s">
        <v>4594</v>
      </c>
      <c r="C2110" s="2" t="s">
        <v>29</v>
      </c>
    </row>
    <row r="2111" spans="1:3">
      <c r="A2111" s="980" t="s">
        <v>4595</v>
      </c>
      <c r="B2111" s="980" t="s">
        <v>4596</v>
      </c>
      <c r="C2111" s="980" t="s">
        <v>29</v>
      </c>
    </row>
    <row r="2112" spans="1:3">
      <c r="A2112" s="980" t="s">
        <v>362</v>
      </c>
      <c r="B2112" s="980" t="s">
        <v>4597</v>
      </c>
      <c r="C2112" s="980" t="s">
        <v>29</v>
      </c>
    </row>
    <row r="2113" spans="1:3">
      <c r="B2113" s="374" t="s">
        <v>4599</v>
      </c>
      <c r="C2113" s="373" t="s">
        <v>4600</v>
      </c>
    </row>
    <row r="2114" spans="1:3">
      <c r="A2114" s="373" t="s">
        <v>4601</v>
      </c>
      <c r="B2114" s="374" t="s">
        <v>4602</v>
      </c>
      <c r="C2114" s="373" t="s">
        <v>29</v>
      </c>
    </row>
    <row r="2115" spans="1:3">
      <c r="A2115" s="2" t="s">
        <v>4924</v>
      </c>
      <c r="B2115" s="2" t="s">
        <v>4414</v>
      </c>
      <c r="C2115" s="2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2019-05-17T09:07:39Z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