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1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F34" i="11" l="1"/>
  <c r="F32" i="11"/>
  <c r="F30" i="11"/>
  <c r="F80" i="10" l="1"/>
  <c r="F81" i="10"/>
  <c r="F77" i="10"/>
  <c r="F135" i="3" l="1"/>
  <c r="C97" i="3"/>
  <c r="C96" i="3"/>
  <c r="C95" i="3"/>
  <c r="C94" i="3"/>
  <c r="C93" i="3"/>
  <c r="F58" i="3"/>
  <c r="C10" i="3"/>
  <c r="C43" i="11" l="1"/>
  <c r="F40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F41" i="11"/>
  <c r="N30" i="11"/>
  <c r="F13" i="11"/>
  <c r="M70" i="7"/>
  <c r="K70" i="7"/>
  <c r="F47" i="6"/>
  <c r="F46" i="6"/>
  <c r="F45" i="6"/>
  <c r="F43" i="6"/>
  <c r="I41" i="7" l="1"/>
  <c r="H41" i="7" s="1"/>
  <c r="H40" i="7"/>
  <c r="M42" i="7"/>
  <c r="M41" i="7"/>
  <c r="K41" i="7"/>
  <c r="J44" i="7"/>
  <c r="K43" i="7"/>
  <c r="I42" i="7"/>
  <c r="H42" i="7" s="1"/>
  <c r="K42" i="7"/>
  <c r="K44" i="7" l="1"/>
  <c r="M44" i="7"/>
  <c r="I43" i="7"/>
  <c r="H43" i="7" s="1"/>
  <c r="K37" i="3"/>
  <c r="N37" i="3"/>
  <c r="M37" i="3"/>
  <c r="L37" i="3"/>
  <c r="I44" i="7" l="1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D33" i="7"/>
  <c r="F13" i="6"/>
  <c r="E13" i="6" s="1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F12" i="12"/>
  <c r="E12" i="12" s="1"/>
  <c r="F13" i="12"/>
  <c r="E13" i="12" s="1"/>
  <c r="F14" i="12"/>
  <c r="E14" i="12" s="1"/>
  <c r="F10" i="12"/>
  <c r="E10" i="12" s="1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3" i="12"/>
  <c r="C42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E44" i="2" s="1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K53" i="12" l="1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L55" i="12" l="1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<sst xmlns="http://schemas.openxmlformats.org/spreadsheetml/2006/main" count="9876" uniqueCount="4939">
  <si>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</si>
  <si>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</si>
  <si>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</si>
  <si>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</si>
  <si>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</si>
  <si>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</si>
  <si>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</si>
  <si>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</si>
  <si>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</si>
  <si>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</si>
  <si>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</si>
  <si>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</si>
  <si>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</si>
  <si>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</si>
  <si>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</si>
  <si>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</si>
  <si>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</si>
  <si>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</si>
  <si>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</si>
  <si>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</si>
  <si>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</si>
  <si>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</si>
  <si>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</si>
  <si>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</si>
  <si>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</si>
  <si>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</si>
  <si>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</si>
  <si>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</si>
  <si>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</si>
  <si>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</si>
  <si>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</si>
  <si>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</si>
  <si>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</si>
  <si>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</si>
  <si>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</si>
  <si>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</si>
  <si>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</si>
  <si>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</si>
  <si>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</si>
  <si>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</si>
  <si>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</si>
  <si>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</si>
  <si>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</si>
  <si>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</si>
  <si>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</si>
  <si>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</si>
  <si>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</si>
  <si>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</si>
  <si>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</si>
  <si>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</si>
  <si>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</si>
  <si>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</si>
  <si>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</si>
  <si>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</si>
  <si>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</si>
  <si>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</si>
  <si>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</si>
  <si>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</si>
  <si>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</si>
  <si>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</si>
  <si>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</si>
  <si>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</si>
  <si>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</si>
  <si>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</si>
  <si>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</si>
  <si>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</si>
  <si>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</si>
  <si>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</si>
  <si>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</si>
  <si>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</si>
  <si>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</si>
  <si>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</si>
  <si>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</si>
  <si>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</si>
  <si>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</si>
  <si>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</si>
  <si>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</si>
  <si>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</si>
  <si>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</si>
  <si>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</si>
  <si>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</si>
  <si>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</si>
  <si>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</si>
  <si>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</si>
  <si>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</si>
  <si>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</si>
  <si>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</si>
  <si>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</si>
  <si>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</si>
  <si>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</si>
  <si>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</si>
  <si>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</si>
  <si>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</si>
  <si>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</si>
  <si>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</si>
  <si>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</si>
  <si>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</si>
  <si>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</si>
  <si>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</si>
  <si>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</si>
  <si>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</si>
  <si>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</si>
  <si>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</si>
  <si>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</si>
  <si>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</si>
  <si>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</si>
  <si>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</si>
  <si>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</si>
  <si>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</si>
  <si>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</si>
  <si>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</si>
  <si>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</si>
  <si>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</si>
  <si>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</si>
  <si>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</si>
  <si>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</si>
  <si>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</si>
  <si>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</si>
  <si>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</si>
  <si>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</si>
  <si>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</si>
  <si>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</si>
  <si>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</si>
  <si>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</si>
  <si>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</si>
  <si>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</si>
  <si>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</si>
  <si>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</si>
  <si>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</si>
  <si>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</si>
  <si>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</si>
  <si>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</si>
  <si>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</si>
  <si>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</si>
  <si>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</si>
  <si>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</si>
  <si>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</si>
  <si>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</si>
  <si>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</si>
  <si>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</si>
  <si>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</si>
  <si>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</si>
  <si>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</si>
  <si>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</si>
  <si>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</si>
  <si>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</si>
  <si>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</si>
  <si>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</si>
  <si>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</si>
  <si>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</si>
  <si>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</si>
  <si>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</si>
  <si>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</si>
  <si>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</si>
  <si>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</si>
  <si>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</si>
  <si>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</si>
  <si>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</si>
  <si>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</si>
  <si>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</si>
  <si>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</si>
  <si>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</si>
  <si>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</si>
  <si>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</si>
  <si>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</si>
  <si>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</si>
  <si>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</si>
  <si>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</si>
  <si>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</si>
  <si>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</si>
  <si>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</si>
  <si>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</si>
  <si>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</si>
  <si>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</si>
  <si>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</si>
  <si>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</si>
  <si>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</si>
  <si>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</si>
  <si>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</si>
  <si>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</si>
  <si>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</si>
  <si>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</si>
  <si>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</si>
  <si>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</si>
  <si>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</si>
  <si>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</si>
  <si>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</si>
  <si>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</si>
  <si>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</si>
  <si>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</si>
  <si>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</si>
  <si>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</si>
  <si>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</si>
  <si>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</si>
  <si>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</si>
  <si>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</si>
  <si>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</si>
  <si>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</si>
  <si>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</si>
  <si>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</si>
  <si>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</si>
  <si>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</si>
  <si>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</si>
  <si>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</si>
  <si>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</si>
  <si>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</si>
  <si>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</si>
  <si>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</si>
  <si>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</si>
  <si>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</si>
  <si>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</si>
  <si>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</si>
  <si>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</si>
  <si>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</si>
  <si>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</si>
  <si>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</si>
  <si>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</si>
  <si>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</si>
  <si>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</si>
  <si>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</si>
  <si>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</si>
  <si>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</si>
  <si>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</si>
  <si>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</si>
  <si>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</si>
  <si>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</si>
  <si>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</si>
  <si>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</si>
  <si>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</si>
  <si>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</si>
  <si>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</si>
  <si>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</si>
  <si>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</si>
  <si>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</si>
  <si>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</si>
  <si>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</si>
  <si>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</si>
  <si>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</si>
  <si>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</si>
  <si>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</si>
  <si>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</si>
  <si>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</si>
  <si>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</si>
  <si>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</si>
  <si>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</si>
  <si>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</si>
  <si>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</si>
  <si>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</si>
  <si>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</si>
  <si>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</si>
  <si>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</si>
  <si>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</si>
  <si>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</si>
  <si>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</si>
  <si>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</si>
  <si>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</si>
  <si>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</si>
  <si>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</si>
  <si>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</si>
  <si>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</si>
  <si>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</si>
  <si>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</si>
  <si>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</si>
  <si>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</si>
  <si>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</si>
  <si>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</si>
  <si>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</si>
  <si>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</si>
  <si>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</si>
  <si>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</si>
  <si>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</si>
  <si>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</si>
  <si>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</si>
  <si>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</si>
  <si>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</si>
  <si>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</si>
  <si>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</si>
  <si>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</si>
  <si>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</si>
  <si>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</si>
  <si>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</si>
  <si>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</si>
  <si>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</si>
  <si>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</si>
  <si>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</si>
  <si>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</si>
  <si>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</si>
  <si>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</si>
  <si>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</si>
  <si>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</si>
  <si>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</si>
  <si>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</si>
  <si>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</si>
  <si>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</si>
  <si>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</si>
  <si>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</si>
  <si>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</si>
  <si>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</si>
  <si>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</si>
  <si>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</si>
  <si>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</si>
  <si>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</si>
  <si>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</si>
  <si>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</si>
  <si>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</si>
  <si>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</si>
  <si>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</si>
  <si>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</si>
  <si>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</si>
  <si>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</si>
  <si>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</si>
  <si>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</si>
  <si>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</si>
  <si>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</si>
  <si>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</si>
  <si>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</si>
  <si>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</si>
  <si>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</si>
  <si>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</si>
  <si>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</si>
  <si>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</si>
  <si>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</si>
  <si>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</si>
  <si>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</si>
  <si>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</si>
  <si>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</si>
  <si>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</si>
  <si>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</si>
  <si>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</si>
  <si>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</si>
  <si>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</si>
  <si>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</si>
  <si>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</si>
  <si>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</si>
  <si>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</si>
  <si>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</si>
  <si>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</si>
  <si>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</si>
  <si>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</si>
  <si>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</si>
  <si>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</si>
  <si>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</si>
  <si>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</si>
  <si>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</si>
  <si>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</si>
  <si>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</si>
  <si>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</si>
  <si>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</si>
  <si>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</si>
  <si>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</si>
  <si>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</si>
  <si>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</si>
  <si>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</si>
  <si>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</si>
  <si>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</si>
  <si>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</si>
  <si>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</si>
  <si>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</si>
  <si>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</si>
  <si>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</si>
  <si>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</si>
  <si>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</si>
  <si>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</si>
  <si>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</si>
  <si>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</si>
  <si>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</si>
  <si>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</si>
  <si>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</si>
  <si>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</si>
  <si>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</si>
  <si>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</si>
  <si>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</si>
  <si>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</si>
  <si>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</si>
  <si>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</si>
  <si>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</si>
  <si>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</si>
  <si>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</si>
  <si>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</si>
  <si>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</si>
  <si>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</si>
  <si>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</si>
  <si>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</si>
  <si>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</si>
  <si>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</si>
  <si>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</si>
  <si>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</si>
  <si>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</si>
  <si>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</si>
  <si>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</si>
  <si>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</si>
  <si>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</si>
  <si>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</si>
  <si>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</si>
  <si>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</si>
  <si>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</si>
  <si>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</si>
  <si>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</si>
  <si>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</si>
  <si>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</si>
  <si>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</si>
  <si>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</si>
  <si>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</si>
  <si>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</si>
  <si>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</si>
  <si>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</si>
  <si>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</si>
  <si>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</si>
  <si>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</si>
  <si>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</si>
  <si>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</si>
  <si>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</si>
  <si>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</si>
  <si>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</si>
  <si>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</si>
  <si>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</si>
  <si>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</si>
  <si>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</si>
  <si>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</si>
  <si>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</si>
  <si>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</si>
  <si>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</si>
  <si>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</si>
  <si>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</si>
  <si>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</si>
  <si>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</si>
  <si>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</si>
  <si>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</si>
  <si>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</si>
  <si>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</si>
  <si>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</si>
  <si>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</si>
  <si>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</si>
  <si>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</si>
  <si>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</si>
  <si>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</si>
  <si>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</si>
  <si>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</si>
  <si>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</si>
  <si>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</si>
  <si>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</si>
  <si>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</si>
  <si>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</si>
  <si>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</si>
  <si>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</si>
  <si>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</si>
  <si>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</si>
  <si>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</si>
  <si>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</si>
  <si>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</si>
  <si>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</si>
  <si>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</si>
  <si>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</si>
  <si>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</si>
  <si>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</si>
  <si>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</si>
  <si>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</si>
  <si>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</si>
  <si>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</si>
  <si>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</si>
  <si>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</si>
  <si>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</si>
  <si>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</si>
  <si>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</si>
  <si>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</si>
  <si>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</si>
  <si>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</si>
  <si>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</si>
  <si>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</si>
  <si>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</si>
  <si>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</si>
  <si>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</si>
  <si>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</si>
  <si>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</si>
  <si>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</si>
  <si>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</si>
  <si>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</si>
  <si>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</si>
  <si>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</si>
  <si>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</si>
  <si>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</si>
  <si>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</si>
  <si>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</si>
  <si>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</si>
  <si>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</si>
  <si>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</si>
  <si>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</si>
  <si>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</si>
  <si>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</si>
  <si>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</si>
  <si>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</si>
  <si>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</si>
  <si>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</si>
  <si>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</si>
  <si>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</si>
  <si>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</si>
  <si>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</si>
  <si>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</si>
  <si>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</si>
  <si>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</si>
  <si>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</si>
  <si>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</si>
  <si>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</si>
  <si>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</si>
  <si>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</si>
  <si>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</si>
  <si>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</si>
  <si>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</si>
  <si>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</si>
  <si>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</si>
  <si>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</si>
  <si>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</si>
  <si>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</si>
  <si>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</si>
  <si>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</si>
  <si>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</si>
  <si>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</si>
  <si>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</si>
  <si>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</si>
  <si>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</si>
  <si>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</si>
  <si>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</si>
  <si>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</si>
  <si>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</si>
  <si>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</si>
  <si>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</si>
  <si>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</si>
  <si>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</si>
  <si>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</si>
  <si>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</si>
  <si>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</si>
  <si>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</si>
  <si>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</si>
  <si>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</si>
  <si>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</si>
  <si>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</si>
  <si>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</si>
  <si>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</si>
  <si>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</si>
  <si>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</si>
  <si>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</si>
  <si>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</si>
  <si>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</si>
  <si>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</si>
  <si>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</si>
  <si>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</si>
  <si>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</si>
  <si>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</si>
  <si>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</si>
  <si>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</si>
  <si>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</si>
  <si>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</si>
  <si>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</si>
  <si>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</si>
  <si>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</si>
  <si>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</si>
  <si>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</si>
  <si>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</si>
  <si>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</si>
  <si>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</si>
  <si>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</si>
  <si>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</si>
  <si>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</si>
  <si>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</si>
  <si>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</si>
  <si>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</si>
  <si>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</si>
  <si>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</si>
  <si>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</si>
  <si>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</si>
  <si>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</si>
  <si>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</si>
  <si>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</si>
  <si>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</si>
  <si>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</si>
  <si>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</si>
  <si>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</si>
  <si>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</si>
  <si>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</si>
  <si>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</si>
  <si>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</si>
  <si>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</si>
  <si>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</si>
  <si>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</si>
  <si>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</si>
  <si>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</si>
  <si>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</si>
  <si>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</si>
  <si>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</si>
  <si>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</si>
  <si>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</si>
  <si>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</si>
  <si>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</si>
  <si>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</si>
  <si>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</si>
  <si>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</si>
  <si>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</si>
  <si>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</si>
  <si>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</si>
  <si>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</si>
  <si>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</si>
  <si>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</si>
  <si>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</si>
  <si>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</si>
  <si>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</si>
  <si>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</si>
  <si>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</si>
  <si>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</si>
  <si>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</si>
  <si>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</si>
  <si>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</si>
  <si>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</si>
  <si>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</si>
  <si>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</si>
  <si>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</si>
  <si>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</si>
  <si>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</si>
  <si>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</si>
  <si>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</si>
  <si>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</si>
  <si>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</si>
  <si>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</si>
  <si>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</si>
  <si>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</si>
  <si>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</si>
  <si>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</si>
  <si>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</si>
  <si>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</si>
  <si>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</si>
  <si>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</si>
  <si>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</si>
  <si>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</si>
  <si>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</si>
  <si>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</si>
  <si>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</si>
  <si>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</si>
  <si>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</si>
  <si>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</si>
  <si>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</si>
  <si>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</si>
  <si>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</si>
  <si>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</si>
  <si>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</si>
  <si>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</si>
  <si>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</si>
  <si>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</si>
  <si>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</si>
  <si>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</si>
  <si>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</si>
  <si>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</si>
  <si>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</si>
  <si>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</si>
  <si>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</si>
  <si>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</si>
  <si>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</si>
  <si>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</si>
  <si>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</si>
  <si>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</si>
  <si>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</si>
  <si>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</si>
  <si>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</si>
  <si>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</si>
  <si>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</si>
  <si>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</si>
  <si>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</si>
  <si>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</si>
  <si>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</si>
  <si>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</si>
  <si>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</si>
  <si>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</si>
  <si>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</si>
  <si>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</si>
  <si>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</si>
  <si>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</si>
  <si>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</si>
  <si>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</si>
  <si>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</si>
  <si>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</si>
  <si>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</si>
  <si>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</si>
  <si>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</si>
  <si>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</si>
  <si>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</si>
  <si>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</si>
  <si>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</si>
  <si>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</si>
  <si>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</si>
  <si>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</si>
  <si>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</si>
  <si>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</si>
  <si>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</si>
  <si>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</si>
  <si>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</si>
  <si>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</si>
  <si>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</si>
  <si>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</si>
  <si>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</si>
  <si>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</si>
  <si>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</si>
  <si>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</si>
  <si>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</si>
  <si>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</si>
  <si>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</si>
  <si>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</si>
  <si>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</si>
  <si>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</si>
  <si>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</si>
  <si>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</si>
  <si>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</si>
  <si>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</si>
  <si>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</si>
  <si>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</si>
  <si>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</si>
  <si>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</si>
  <si>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</si>
  <si>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</si>
  <si>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</si>
  <si>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</si>
  <si>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</si>
  <si>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</si>
  <si>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</si>
  <si>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</si>
  <si>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</si>
  <si>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</si>
  <si>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</si>
  <si>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</si>
  <si>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</si>
  <si>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</si>
  <si>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</si>
  <si>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</si>
  <si>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</si>
  <si>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</si>
  <si>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</si>
  <si>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</si>
  <si>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</si>
  <si>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</si>
  <si>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</si>
  <si>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</si>
  <si>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</si>
  <si>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</si>
  <si>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</si>
  <si>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</si>
  <si>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</si>
  <si>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</si>
  <si>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</si>
  <si>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</si>
  <si>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</si>
  <si>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</si>
  <si>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</si>
  <si>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</si>
  <si>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</si>
  <si>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</si>
  <si>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</si>
  <si>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</si>
  <si>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</si>
  <si>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</si>
  <si>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</si>
  <si>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</si>
  <si>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</si>
  <si>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</si>
  <si>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</si>
  <si>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</si>
  <si>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</si>
  <si>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</si>
  <si>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</si>
  <si>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</si>
  <si>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</si>
  <si>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</si>
  <si>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</si>
  <si>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</si>
  <si>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</si>
  <si>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</si>
  <si>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</si>
  <si>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</si>
  <si>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</si>
  <si>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</si>
  <si>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</si>
  <si>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</si>
  <si>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</si>
  <si>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</si>
  <si>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</si>
  <si>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</si>
  <si>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</si>
  <si>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</si>
  <si>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</si>
  <si>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</si>
  <si>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</si>
  <si>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</si>
  <si>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</si>
  <si>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</si>
  <si>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</si>
  <si>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</si>
  <si>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</si>
  <si>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</si>
  <si>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</si>
  <si>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</si>
  <si>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</si>
  <si>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</si>
  <si>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</si>
  <si>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</si>
  <si>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</si>
  <si>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</si>
  <si>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</si>
  <si>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</si>
  <si>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</si>
  <si>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</si>
  <si>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</si>
  <si>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</si>
  <si>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</si>
  <si>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</si>
  <si>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</si>
  <si>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</si>
  <si>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</si>
  <si>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</si>
  <si>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</si>
  <si>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</si>
  <si>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</si>
  <si>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</si>
  <si>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</si>
  <si>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</si>
  <si>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</si>
  <si>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</si>
  <si>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</si>
  <si>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</si>
  <si>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</si>
  <si>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</si>
  <si>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</si>
  <si>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</si>
  <si>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</si>
  <si>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</si>
  <si>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</si>
  <si>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</si>
  <si>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</si>
  <si>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</si>
  <si>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</si>
  <si>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</si>
  <si>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</si>
  <si>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</si>
  <si>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</si>
  <si>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</si>
  <si>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</si>
  <si>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</si>
  <si>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</si>
  <si>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</si>
  <si>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</si>
  <si>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</si>
  <si>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</si>
  <si>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</si>
  <si>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</si>
  <si>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</si>
  <si>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</si>
  <si>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</si>
  <si>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</si>
  <si>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</si>
  <si>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</si>
  <si>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</si>
  <si>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</si>
  <si>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</si>
  <si>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</si>
  <si>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</si>
  <si>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</si>
  <si>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</si>
  <si>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</si>
  <si>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</si>
  <si>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</si>
  <si>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</si>
  <si>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</si>
  <si>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</si>
  <si>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</si>
  <si>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</si>
  <si>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</si>
  <si>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</si>
  <si>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</si>
  <si>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</si>
  <si>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</si>
  <si>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</si>
  <si>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</si>
  <si>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</si>
  <si>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</si>
  <si>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</si>
  <si>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</si>
  <si>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</si>
  <si>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</si>
  <si>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</si>
  <si>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</si>
  <si>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</si>
  <si>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</si>
  <si>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</si>
  <si>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</si>
  <si>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</si>
  <si>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</si>
  <si>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</si>
  <si>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</si>
  <si>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</si>
  <si>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</si>
  <si>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</si>
  <si>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</si>
  <si>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</si>
  <si>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</si>
  <si>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</si>
  <si>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</si>
  <si>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</si>
  <si>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</si>
  <si>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</si>
  <si>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</si>
  <si>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</si>
  <si>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</si>
  <si>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</si>
  <si>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</si>
  <si>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</si>
  <si>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</si>
  <si>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</si>
  <si>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</si>
  <si>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</si>
  <si>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</si>
  <si>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</si>
  <si>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</si>
  <si>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</si>
  <si>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</si>
  <si>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</si>
  <si>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</si>
  <si>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</si>
  <si>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</si>
  <si>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</si>
  <si>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</si>
  <si>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</si>
  <si>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</si>
  <si>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</si>
  <si>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</si>
  <si>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</si>
  <si>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</si>
  <si>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</si>
  <si>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</si>
  <si>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</si>
  <si>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</si>
  <si>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</si>
  <si>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</si>
  <si>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</si>
  <si>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</si>
  <si>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</si>
  <si>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</si>
  <si>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</si>
  <si>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</si>
  <si>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</si>
  <si>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</si>
  <si>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</si>
  <si>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</si>
  <si>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</si>
  <si>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</si>
  <si>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</si>
  <si>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</si>
  <si>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</si>
  <si>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</si>
  <si>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</si>
  <si>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</si>
  <si>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</si>
  <si>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</si>
  <si>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</si>
  <si>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</si>
  <si>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</si>
  <si>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</si>
  <si>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</si>
  <si>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</si>
  <si>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</si>
  <si>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</si>
  <si>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</si>
  <si>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</si>
  <si>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</si>
  <si>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</si>
  <si>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</si>
  <si>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</si>
  <si>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</si>
  <si>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</si>
  <si>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</si>
  <si>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</si>
  <si>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</si>
  <si>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</si>
  <si>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</si>
  <si>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</si>
  <si>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</si>
  <si>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</si>
  <si>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</si>
  <si>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</si>
  <si>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</si>
  <si>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</si>
  <si>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</si>
  <si>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</si>
  <si>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</si>
  <si>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</si>
  <si>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</si>
  <si>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</si>
  <si>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</si>
  <si>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</si>
  <si>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</si>
  <si>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</si>
  <si>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</si>
  <si>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</si>
  <si>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</si>
  <si>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</si>
  <si>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</si>
  <si>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</si>
  <si>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</si>
  <si>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</si>
  <si>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</si>
  <si>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</si>
  <si>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</si>
  <si>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</si>
  <si>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</si>
  <si>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</si>
  <si>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</si>
  <si>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</si>
  <si>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</si>
  <si>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</si>
  <si>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</si>
  <si>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</si>
  <si>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</si>
  <si>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</si>
  <si>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</si>
  <si>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</si>
  <si>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</si>
  <si>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</si>
  <si>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</si>
  <si>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</si>
  <si>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</si>
  <si>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</si>
  <si>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</si>
  <si>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</si>
  <si>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</si>
  <si>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</si>
  <si>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</si>
  <si>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</si>
  <si>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</si>
  <si>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</si>
  <si>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</si>
  <si>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</si>
  <si>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</si>
  <si>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</si>
  <si>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</si>
  <si>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</si>
  <si>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</si>
  <si>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</si>
  <si>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</si>
  <si>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</si>
  <si>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</si>
  <si>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</si>
  <si>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</si>
  <si>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</si>
  <si>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</si>
  <si>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</si>
  <si>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</si>
  <si>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</si>
  <si>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</si>
  <si>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</si>
  <si>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</si>
  <si>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</si>
  <si>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</si>
  <si>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</si>
  <si>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</si>
  <si>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</si>
  <si>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</si>
  <si>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</si>
  <si>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</si>
  <si>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</si>
  <si>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</si>
  <si>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</si>
  <si>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</si>
  <si>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</si>
  <si>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</si>
  <si>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</si>
  <si>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</si>
  <si>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</si>
  <si>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</si>
  <si>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</si>
  <si>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</si>
  <si>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</si>
  <si>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</si>
  <si>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</si>
  <si>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</si>
  <si>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</si>
  <si>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</si>
  <si>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</si>
  <si>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</si>
  <si>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</si>
  <si>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</si>
  <si>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</si>
  <si>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</si>
  <si>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</si>
  <si>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</si>
  <si>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</si>
  <si>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</si>
  <si>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</si>
  <si>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</si>
  <si>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</si>
  <si>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</si>
  <si>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</si>
  <si>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</si>
  <si>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</si>
  <si>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</si>
  <si>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</si>
  <si>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</si>
  <si>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</si>
  <si>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</si>
  <si>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</si>
  <si>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</si>
  <si>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</si>
  <si>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</si>
  <si>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</si>
  <si>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</si>
  <si>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</si>
  <si>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</si>
  <si>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</si>
  <si>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</si>
  <si>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</si>
  <si>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</si>
  <si>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</si>
  <si>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</si>
  <si>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</si>
  <si>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</si>
  <si>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</si>
  <si>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</si>
  <si>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</si>
  <si>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</si>
  <si>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</si>
  <si>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</si>
  <si>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</si>
  <si>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</si>
  <si>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</si>
  <si>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</si>
  <si>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</si>
  <si>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</si>
  <si>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</si>
  <si>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</si>
  <si>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</si>
  <si>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</si>
  <si>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</si>
  <si>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</si>
  <si>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</si>
  <si>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</si>
  <si>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</si>
  <si>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</si>
  <si>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</si>
  <si>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</si>
  <si>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</si>
  <si>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</si>
  <si>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</si>
  <si>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</si>
  <si>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</si>
  <si>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</si>
  <si>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</si>
  <si>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</si>
  <si>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</si>
  <si>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</si>
  <si>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</si>
  <si>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</si>
  <si>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</si>
  <si>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</si>
  <si>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</si>
  <si>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</si>
  <si>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</si>
  <si>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</si>
  <si>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</si>
  <si>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</si>
  <si>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</si>
  <si>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</si>
  <si>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</si>
  <si>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</si>
  <si>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</si>
  <si>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</si>
  <si>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</si>
  <si>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</si>
  <si>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</si>
  <si>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</si>
  <si>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</si>
  <si>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</si>
  <si>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</si>
  <si>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</si>
  <si>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</si>
  <si>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</si>
  <si>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</si>
  <si>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</si>
  <si>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</si>
  <si>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</si>
  <si>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</si>
  <si>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</si>
  <si>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</si>
  <si>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</si>
  <si>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</si>
  <si>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</si>
  <si>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</si>
  <si>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</si>
  <si>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</si>
  <si>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</si>
  <si>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</si>
  <si>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</si>
  <si>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</si>
  <si>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</si>
  <si>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</si>
  <si>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</si>
  <si>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</si>
  <si>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</si>
  <si>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</si>
  <si>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</si>
  <si>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</si>
  <si>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</si>
  <si>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</si>
  <si>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</si>
  <si>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</si>
  <si>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</si>
  <si>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</si>
  <si>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</si>
  <si>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</si>
  <si>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</si>
  <si>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</si>
  <si>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</si>
  <si>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</si>
  <si>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</si>
  <si>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</si>
  <si>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</si>
  <si>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</si>
  <si>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</si>
  <si>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</si>
  <si>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</si>
  <si>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</si>
  <si>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</si>
  <si>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</si>
  <si>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</si>
  <si>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</si>
  <si>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</si>
  <si>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</si>
  <si>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</si>
  <si>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</si>
  <si>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</si>
  <si>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</si>
  <si>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</si>
  <si>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</si>
  <si>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</si>
  <si>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</si>
  <si>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</si>
  <si>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</si>
  <si>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</si>
  <si>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</si>
  <si>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</si>
  <si>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</si>
  <si>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</si>
  <si>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</si>
  <si>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</si>
  <si>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</si>
  <si>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</si>
  <si>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</si>
  <si>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</si>
  <si>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</si>
  <si>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</si>
  <si>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</si>
  <si>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</si>
  <si>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</si>
  <si>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</si>
  <si>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</si>
  <si>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</si>
  <si>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</si>
  <si>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</si>
  <si>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</si>
  <si>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</si>
  <si>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</si>
  <si>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</si>
  <si>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</si>
  <si>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</si>
  <si>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</si>
  <si>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</si>
  <si>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</si>
  <si>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</si>
  <si>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</si>
  <si>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</si>
  <si>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</si>
  <si>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</si>
  <si>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</si>
  <si>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</si>
  <si>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</si>
  <si>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</si>
  <si>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</si>
  <si>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</si>
  <si>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</si>
  <si>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</si>
  <si>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</si>
  <si>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</si>
  <si>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</si>
  <si>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</si>
  <si>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</si>
  <si>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</si>
  <si>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</si>
  <si>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</si>
  <si>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</si>
  <si>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</si>
  <si>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</si>
  <si>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</si>
  <si>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</si>
  <si>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</si>
  <si>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</si>
  <si>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</si>
  <si>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</si>
  <si>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</si>
  <si>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</si>
  <si>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</si>
  <si>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</si>
  <si>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</si>
  <si>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</si>
  <si>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</si>
  <si>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</si>
  <si>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</si>
  <si>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</si>
  <si>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</si>
  <si>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</si>
  <si>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</si>
  <si>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</si>
  <si>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</si>
  <si>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</si>
  <si>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</si>
  <si>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</si>
  <si>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</si>
  <si>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</si>
  <si>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</si>
  <si>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</si>
  <si>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</si>
  <si>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</si>
  <si>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</si>
  <si>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</si>
  <si>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</si>
  <si>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</si>
  <si>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</si>
  <si>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</si>
  <si>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</si>
  <si>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</si>
  <si>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</si>
  <si>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</si>
  <si>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</si>
  <si>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</si>
  <si>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</si>
  <si>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</si>
  <si>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</si>
  <si>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</si>
  <si>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</si>
  <si>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</si>
  <si>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</si>
  <si>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</si>
  <si>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</si>
  <si>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</si>
  <si>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</si>
  <si>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</si>
  <si>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</si>
  <si>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</si>
  <si>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</si>
  <si>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</si>
  <si>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</si>
  <si>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</si>
  <si>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</si>
  <si>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</si>
  <si>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</si>
  <si>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</si>
  <si>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</si>
  <si>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</si>
  <si>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</si>
  <si>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</si>
  <si>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</si>
  <si>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</si>
  <si>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</si>
  <si>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</si>
  <si>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</si>
  <si>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</si>
  <si>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</si>
  <si>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</si>
  <si>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</si>
  <si>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</si>
  <si>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</si>
  <si>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</si>
  <si>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</si>
  <si>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</si>
  <si>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</si>
  <si>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</si>
  <si>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</si>
  <si>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</si>
  <si>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</si>
  <si>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</si>
  <si>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</si>
  <si>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</si>
  <si>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</si>
  <si>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</si>
  <si>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</si>
  <si>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</si>
  <si>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</si>
  <si>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</si>
  <si>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</si>
  <si>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</si>
  <si>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</si>
  <si>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</si>
  <si>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</si>
  <si>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</si>
  <si>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</si>
  <si>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</si>
  <si>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</si>
  <si>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</si>
  <si>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</si>
  <si>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</si>
  <si>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</si>
  <si>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</si>
  <si>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</si>
  <si>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</si>
  <si>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</si>
  <si>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</si>
  <si>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</si>
  <si>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</si>
  <si>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</si>
  <si>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</si>
  <si>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</si>
  <si>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</si>
  <si>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</si>
  <si>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</si>
  <si>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</si>
  <si>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</si>
  <si>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</si>
  <si>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</si>
  <si>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</si>
  <si>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</si>
  <si>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</si>
  <si>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</si>
  <si>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</si>
  <si>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</si>
  <si>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</si>
  <si>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</si>
  <si>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</si>
  <si>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</si>
  <si>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</si>
  <si>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</si>
  <si>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</si>
  <si>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</si>
  <si>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</si>
  <si>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</si>
  <si>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</si>
  <si>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</si>
  <si>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</si>
  <si>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</si>
  <si>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</si>
  <si>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</si>
  <si>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</si>
  <si>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</si>
  <si>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</si>
  <si>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</si>
  <si>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</si>
  <si>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</si>
  <si>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</si>
  <si>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</si>
  <si>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</si>
  <si>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</si>
  <si>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</si>
  <si>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</si>
  <si>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</si>
  <si>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</si>
  <si>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</si>
  <si>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</si>
  <si>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</si>
  <si>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</si>
  <si>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</si>
  <si>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</si>
  <si>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</si>
  <si>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</si>
  <si>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</si>
  <si>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</si>
  <si>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</si>
  <si>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</si>
  <si>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</si>
  <si>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</si>
  <si>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</si>
  <si>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</si>
  <si>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</si>
  <si>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</si>
  <si>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</si>
  <si>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</si>
  <si>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</si>
  <si>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</si>
  <si>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</si>
  <si>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</si>
  <si>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</si>
  <si>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</si>
  <si>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</si>
  <si>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</si>
  <si>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</si>
  <si>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</si>
  <si>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</si>
  <si>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</si>
  <si>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</si>
  <si>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</si>
  <si>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</si>
  <si>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</si>
  <si>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</si>
  <si>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</si>
  <si>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</si>
  <si>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</si>
  <si>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</si>
  <si>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</si>
  <si>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</si>
  <si>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</si>
  <si>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</si>
  <si>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</si>
  <si>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</si>
  <si>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</si>
  <si>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</si>
  <si>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</si>
  <si>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</si>
  <si>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</si>
  <si>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</si>
  <si>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</si>
  <si>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</si>
  <si>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</si>
  <si>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</si>
  <si>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</si>
  <si>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</si>
  <si>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</si>
  <si>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</si>
  <si>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</si>
  <si>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</si>
  <si>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</si>
  <si>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</si>
  <si>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</si>
  <si>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</si>
  <si>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</si>
  <si>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</si>
  <si>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</si>
  <si>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</si>
  <si>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</si>
  <si>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</si>
  <si>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</si>
  <si>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</si>
  <si>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</si>
  <si>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</si>
  <si>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</si>
  <si>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</si>
  <si>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</si>
  <si>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</si>
  <si>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</si>
  <si>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</si>
  <si>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</si>
  <si>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</si>
  <si>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</si>
  <si>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</si>
  <si>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</si>
  <si>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</si>
  <si>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</si>
  <si>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</si>
  <si>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</si>
  <si>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</si>
  <si>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</si>
  <si>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</si>
  <si>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</si>
  <si>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</si>
  <si>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</si>
  <si>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</si>
  <si>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</si>
  <si>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</si>
  <si>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</si>
  <si>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</si>
  <si>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</si>
  <si>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</si>
  <si>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</si>
  <si>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</si>
  <si>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</si>
  <si>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</si>
  <si>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</si>
  <si>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</si>
  <si>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</si>
  <si>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</si>
  <si>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</si>
  <si>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</si>
  <si>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</si>
  <si>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</si>
  <si>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</si>
  <si>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</si>
  <si>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</si>
  <si>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</si>
  <si>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</si>
  <si>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</si>
  <si>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</si>
  <si>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</si>
  <si>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</si>
  <si>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</si>
  <si>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</si>
  <si>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</si>
  <si>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</si>
  <si>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</si>
  <si>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</si>
  <si>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</si>
  <si>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</si>
  <si>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</si>
  <si>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</si>
  <si>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</si>
  <si>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</si>
  <si>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</si>
  <si>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</si>
  <si>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</si>
  <si>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</si>
  <si>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</si>
  <si>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</si>
  <si>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</si>
  <si>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</si>
  <si>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</si>
  <si>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</si>
  <si>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</si>
  <si>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</si>
  <si>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</si>
  <si>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</si>
  <si>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</si>
  <si>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</si>
  <si>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</si>
  <si>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</si>
  <si>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</si>
  <si>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</si>
  <si>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</si>
  <si>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</si>
  <si>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</si>
  <si>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</si>
  <si>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</si>
  <si>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</si>
  <si>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</si>
  <si>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</si>
  <si>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</si>
  <si>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</si>
  <si>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</si>
  <si>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</si>
  <si>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</si>
  <si>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</si>
  <si>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</si>
  <si>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</si>
  <si>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</si>
  <si>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</si>
  <si>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</si>
  <si>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</si>
  <si>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</si>
  <si>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</si>
  <si>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</si>
  <si>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</si>
  <si>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</si>
  <si>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</si>
  <si>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</si>
  <si>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</si>
  <si>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</si>
  <si>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</si>
  <si>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</si>
  <si>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</si>
  <si>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</si>
  <si>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</si>
  <si>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</si>
  <si>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</si>
  <si>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</si>
  <si>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</si>
  <si>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</si>
  <si>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</si>
  <si>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</si>
  <si>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</si>
  <si>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</si>
  <si>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</si>
  <si>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</si>
  <si>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</si>
  <si>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</si>
  <si>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</si>
  <si>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</si>
  <si>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</si>
  <si>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</si>
  <si>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</si>
  <si>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</si>
  <si>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</si>
  <si>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</si>
  <si>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</si>
  <si>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</si>
  <si>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</si>
  <si>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</si>
  <si>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</si>
  <si>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</si>
  <si>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</si>
  <si>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</si>
  <si>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</si>
  <si>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</si>
  <si>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</si>
  <si>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</si>
  <si>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</si>
  <si>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</si>
  <si>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</si>
  <si>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</si>
  <si>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</si>
  <si>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</si>
  <si>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</si>
  <si>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</si>
  <si>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</si>
  <si>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</si>
  <si>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</si>
  <si>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</si>
  <si>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</si>
  <si>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</si>
  <si>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</si>
  <si>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</si>
  <si>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</si>
  <si>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</si>
  <si>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</si>
  <si>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</si>
  <si>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</si>
  <si>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</si>
  <si>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</si>
  <si>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</si>
  <si>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</si>
  <si>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</si>
  <si>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</si>
  <si>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</si>
  <si>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</si>
  <si>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</si>
  <si>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</si>
  <si>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</si>
  <si>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</si>
  <si>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</si>
  <si>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</si>
  <si>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</si>
  <si>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</si>
  <si>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</si>
  <si>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</si>
  <si>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</si>
  <si>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</si>
  <si>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</si>
  <si>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</si>
  <si>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</si>
  <si>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</si>
  <si>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</si>
  <si>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</si>
  <si>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</si>
  <si>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</si>
  <si>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</si>
  <si>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</si>
  <si>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</si>
  <si>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</si>
  <si>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</si>
  <si>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</si>
  <si>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</si>
  <si>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</si>
  <si>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</si>
  <si>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</si>
  <si>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</si>
  <si>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</si>
  <si>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</si>
  <si>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</si>
  <si>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</si>
  <si>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</si>
  <si>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</si>
  <si>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</si>
  <si>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</si>
  <si>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</si>
  <si>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</si>
  <si>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</si>
  <si>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</si>
  <si>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</si>
  <si>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</si>
  <si>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</si>
  <si>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</si>
  <si>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</si>
  <si>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</si>
  <si>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</si>
  <si>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</si>
  <si>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</si>
  <si>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</si>
  <si>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</si>
  <si>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</si>
  <si>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</si>
  <si>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</si>
  <si>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</si>
  <si>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</si>
  <si>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</si>
  <si>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</si>
  <si>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</si>
  <si>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</si>
  <si>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</si>
  <si>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</si>
  <si>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</si>
  <si>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</si>
  <si>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</si>
  <si>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</si>
  <si>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</si>
  <si>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</si>
  <si>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</si>
  <si>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</si>
  <si>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</si>
  <si>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</si>
  <si>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</si>
  <si>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</si>
  <si>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</si>
  <si>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</si>
  <si>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</si>
  <si>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</si>
  <si>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</si>
  <si>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</si>
  <si>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</si>
  <si>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</si>
  <si>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</si>
  <si>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</si>
  <si>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</si>
  <si>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</si>
  <si>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</si>
  <si>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</si>
  <si>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</si>
  <si>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</si>
  <si>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</si>
  <si>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</si>
  <si>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</si>
  <si>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</si>
  <si>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</si>
  <si>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</si>
  <si>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</si>
  <si>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</si>
  <si>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</si>
  <si>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</si>
  <si>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</si>
  <si>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</si>
  <si>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</si>
  <si>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</si>
  <si>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</si>
  <si>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</si>
  <si>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</si>
  <si>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</si>
  <si>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</si>
  <si>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</si>
  <si>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</si>
  <si>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</si>
  <si>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</si>
  <si>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</si>
  <si>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</si>
  <si>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</si>
  <si>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</si>
  <si>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</si>
  <si>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</si>
  <si>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</si>
  <si>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</si>
  <si>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</si>
  <si>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</si>
  <si>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</si>
  <si>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</si>
  <si>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</si>
  <si>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</si>
  <si>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</si>
  <si>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</si>
  <si>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</si>
  <si>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</si>
  <si>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</si>
  <si>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</si>
  <si>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</si>
  <si>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</si>
  <si>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</si>
  <si>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</si>
  <si>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</si>
  <si>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</si>
  <si>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</si>
  <si>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</si>
  <si>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</si>
  <si>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</si>
  <si>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</si>
  <si>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</si>
  <si>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</si>
  <si>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</si>
  <si>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</si>
  <si>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</si>
  <si>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</si>
  <si>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</si>
  <si>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</si>
  <si>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</si>
  <si>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</si>
  <si>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</si>
  <si>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</si>
  <si>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</si>
  <si>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</si>
  <si>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</si>
  <si>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</si>
  <si>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</si>
  <si>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</si>
  <si>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</si>
  <si>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</si>
  <si>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</si>
  <si>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</si>
  <si>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</si>
  <si>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</si>
  <si>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</si>
  <si>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</si>
  <si>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</si>
  <si>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</si>
  <si>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</si>
  <si>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</si>
  <si>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</si>
  <si>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</si>
  <si>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</si>
  <si>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</si>
  <si>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</si>
  <si>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</si>
  <si>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</si>
  <si>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</si>
  <si>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</si>
  <si>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</si>
  <si>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</si>
  <si>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</si>
  <si>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</si>
  <si>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</si>
  <si>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</si>
  <si>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</si>
  <si>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</si>
  <si>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</si>
  <si>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</si>
  <si>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</si>
  <si>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</si>
  <si>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</si>
  <si>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</si>
  <si>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</si>
  <si>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</si>
  <si>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</si>
  <si>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</si>
  <si>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</si>
  <si>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</si>
  <si>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</si>
  <si>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</si>
  <si>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</si>
  <si>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</si>
  <si>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</si>
  <si>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</si>
  <si>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</si>
  <si>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</si>
  <si>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</si>
  <si>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</si>
  <si>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</si>
  <si>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</si>
  <si>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</si>
  <si>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</si>
  <si>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</si>
  <si>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</si>
  <si>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</si>
  <si>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</si>
  <si>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</si>
  <si>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</si>
  <si>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</si>
  <si>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</si>
  <si>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</si>
  <si>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</si>
  <si>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</si>
  <si>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</si>
  <si>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</si>
  <si>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</si>
  <si>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</si>
  <si>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</si>
  <si>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</si>
  <si>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</si>
  <si>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</si>
  <si>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</si>
  <si>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</si>
  <si>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</si>
  <si>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</si>
  <si>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</si>
  <si>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</si>
  <si>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</si>
  <si>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</si>
  <si>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</si>
  <si>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</si>
  <si>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</si>
  <si>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</si>
  <si>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</si>
  <si>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</si>
  <si>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</si>
  <si>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</si>
  <si>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</si>
  <si>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</si>
  <si>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</si>
  <si>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</si>
  <si>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</si>
  <si>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</si>
  <si>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</si>
  <si>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</si>
  <si>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</si>
  <si>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</si>
  <si>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</si>
  <si>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</si>
  <si>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</si>
  <si>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</si>
  <si>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</si>
  <si>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</si>
  <si>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</si>
  <si>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</si>
  <si>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</si>
  <si>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</si>
  <si>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</si>
  <si>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</si>
  <si>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</si>
  <si>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</si>
  <si>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</si>
  <si>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</si>
  <si>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</si>
  <si>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</si>
  <si>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</si>
  <si>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</si>
  <si>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</si>
  <si>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</si>
  <si>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</si>
  <si>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</si>
  <si>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</si>
  <si>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</si>
  <si>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</si>
  <si>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</si>
  <si>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</si>
  <si>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</si>
  <si>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</si>
  <si>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</si>
  <si>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</si>
  <si>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</si>
  <si>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</si>
  <si>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</si>
  <si>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</si>
  <si>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</si>
  <si>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</si>
  <si>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</si>
  <si>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</si>
  <si>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</si>
  <si>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</si>
  <si>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</si>
  <si>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</si>
  <si>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</si>
  <si>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</si>
  <si>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</si>
  <si>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</si>
  <si>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</si>
  <si>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</si>
  <si>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</si>
  <si>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</si>
  <si>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</si>
  <si>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</si>
  <si>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</si>
  <si>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</si>
  <si>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</si>
  <si>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</si>
  <si>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</si>
  <si>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</si>
  <si>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</si>
  <si>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</si>
  <si>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</si>
  <si>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</si>
  <si>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</si>
  <si>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</si>
  <si>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</si>
  <si>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</si>
  <si>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</si>
  <si>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</si>
  <si>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</si>
  <si>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</si>
  <si>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</si>
  <si>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</si>
  <si>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</si>
  <si>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</si>
  <si>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</si>
  <si>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</si>
  <si>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</si>
  <si>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</si>
  <si>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</si>
  <si>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</si>
  <si>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</si>
  <si>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</si>
  <si>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</si>
  <si>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</si>
  <si>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</si>
  <si>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</si>
  <si>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</si>
  <si>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</si>
  <si>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</si>
  <si>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</si>
  <si>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</si>
  <si>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</si>
  <si>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</si>
  <si>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</si>
  <si>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</si>
  <si>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</si>
  <si>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</si>
  <si>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</si>
  <si>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</si>
  <si>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</si>
  <si>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</si>
  <si>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</si>
  <si>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</si>
  <si>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</si>
  <si>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</si>
  <si>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</si>
  <si>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</si>
  <si>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</si>
  <si>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</si>
  <si>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</si>
  <si>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</si>
  <si>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</si>
  <si>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</si>
  <si>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</si>
  <si>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</si>
  <si>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</si>
  <si>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</si>
  <si>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</si>
  <si>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</si>
  <si>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</si>
  <si>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</si>
  <si>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</si>
  <si>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</si>
  <si>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</si>
  <si>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</si>
  <si>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</si>
  <si>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</si>
  <si>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</si>
  <si>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</si>
  <si>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</si>
  <si>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</si>
  <si>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</si>
  <si>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</si>
  <si>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</si>
  <si>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</si>
  <si>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</si>
  <si>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</si>
  <si>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</si>
  <si>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</si>
  <si>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</si>
  <si>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</si>
  <si>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</si>
  <si>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</si>
  <si>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</si>
  <si>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</si>
  <si>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</si>
  <si>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</si>
  <si>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</si>
  <si>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</si>
  <si>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</si>
  <si>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</si>
  <si>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</si>
  <si>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</si>
  <si>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</si>
  <si>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</si>
  <si>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</si>
  <si>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</si>
  <si>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</si>
  <si>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</si>
  <si>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</si>
  <si>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</si>
  <si>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</si>
  <si>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</si>
  <si>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</si>
  <si>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</si>
  <si>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</si>
  <si>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</si>
  <si>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</si>
  <si>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</si>
  <si>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</si>
  <si>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</si>
  <si>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</si>
  <si>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</si>
  <si>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</si>
  <si>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</si>
  <si>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</si>
  <si>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</si>
  <si>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</si>
  <si>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</si>
  <si>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</si>
  <si>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</si>
  <si>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</si>
  <si>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</si>
  <si>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</si>
  <si>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</si>
  <si>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</si>
  <si>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</si>
  <si>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</si>
  <si>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</si>
  <si>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</si>
  <si>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</si>
  <si>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</si>
  <si>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</si>
  <si>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</si>
  <si>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</si>
  <si>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</si>
  <si>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</si>
  <si>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</si>
  <si>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</si>
  <si>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</si>
  <si>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</si>
  <si>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</si>
  <si>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</si>
  <si>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</si>
  <si>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</si>
  <si>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</si>
  <si>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</si>
  <si>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</si>
  <si>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</si>
  <si>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</si>
  <si>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</si>
  <si>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</si>
  <si>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</si>
  <si>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</si>
  <si>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</si>
  <si>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</si>
  <si>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</si>
  <si>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</si>
  <si>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</si>
  <si>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</si>
  <si>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</si>
  <si>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</si>
  <si>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</si>
  <si>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</si>
  <si>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</si>
  <si>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</si>
  <si>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</si>
  <si>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</si>
  <si>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</si>
  <si>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</si>
  <si>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</si>
  <si>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</si>
  <si>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</si>
  <si>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</si>
  <si>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</si>
  <si>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</si>
  <si>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</si>
  <si>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</si>
  <si>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</si>
  <si>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</si>
  <si>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</si>
  <si>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</si>
  <si>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</si>
  <si>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</si>
  <si>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</si>
  <si>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</si>
  <si>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</si>
  <si>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</si>
  <si>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</si>
  <si>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</si>
  <si>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</si>
  <si>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</si>
  <si>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</si>
  <si>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</si>
  <si>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</si>
  <si>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</si>
  <si>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</si>
  <si>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</si>
  <si>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</si>
  <si>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</si>
  <si>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</si>
  <si>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</si>
  <si>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</si>
  <si>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</si>
  <si>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</si>
  <si>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</si>
  <si>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</si>
  <si>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</si>
  <si>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</si>
  <si>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</si>
  <si>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</si>
  <si>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</si>
  <si>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</si>
  <si>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</si>
  <si>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</si>
  <si>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</si>
  <si>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</si>
  <si>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</si>
  <si>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</si>
  <si>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</si>
  <si>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</si>
  <si>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</si>
  <si>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</si>
  <si>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</si>
  <si>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</si>
  <si>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</si>
  <si>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</si>
  <si>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</si>
  <si>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</si>
  <si>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</si>
  <si>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</si>
  <si>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</si>
  <si>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</si>
  <si>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</si>
  <si>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</si>
  <si>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</si>
  <si>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</si>
  <si>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</si>
  <si>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</si>
  <si>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</si>
  <si>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</si>
  <si>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</si>
  <si>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</si>
  <si>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</si>
  <si>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</si>
  <si>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</si>
  <si>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</si>
  <si>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</si>
  <si>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</si>
  <si>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</si>
  <si>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</si>
  <si>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</si>
  <si>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</si>
  <si>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</si>
  <si>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</si>
  <si>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</si>
  <si>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</si>
  <si>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</si>
  <si>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</si>
  <si>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</si>
  <si>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</si>
  <si>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</si>
  <si>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</si>
  <si>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</si>
  <si>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</si>
  <si>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</si>
  <si>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</si>
  <si>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</si>
  <si>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</si>
  <si>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</si>
  <si>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</si>
  <si>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</si>
  <si>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</si>
  <si>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</si>
  <si>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</si>
  <si>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</si>
  <si>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</si>
  <si>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</si>
  <si>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</si>
  <si>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</si>
  <si>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</si>
  <si>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</si>
  <si>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</si>
  <si>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</si>
  <si>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</si>
  <si>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</si>
  <si>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</si>
  <si>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</si>
  <si>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</si>
  <si>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</si>
  <si>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</si>
  <si>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</si>
  <si>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</si>
  <si>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</si>
  <si>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</si>
  <si>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</si>
  <si>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</si>
  <si>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</si>
  <si>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</si>
  <si>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</si>
  <si>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</si>
  <si>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</si>
  <si>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</si>
  <si>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</si>
  <si>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</si>
  <si>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</si>
  <si>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</si>
  <si>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</si>
  <si>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</si>
  <si>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</si>
  <si>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</si>
  <si>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</si>
  <si>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</si>
  <si>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</si>
  <si>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</si>
  <si>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</si>
  <si>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</si>
  <si>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</si>
  <si>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</si>
  <si>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</si>
  <si>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</si>
  <si>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</si>
  <si>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</si>
  <si>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</si>
  <si>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</si>
  <si>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</si>
  <si>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</si>
  <si>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</si>
  <si>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</si>
  <si>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</si>
  <si>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</si>
  <si>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</si>
  <si>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</si>
  <si>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</si>
  <si>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</si>
  <si>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</si>
  <si>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</si>
  <si>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</si>
  <si>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</si>
  <si>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</si>
  <si>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</si>
  <si>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</si>
  <si>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</si>
  <si>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</si>
  <si>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</si>
  <si>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</si>
  <si>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</si>
  <si>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</si>
  <si>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</si>
  <si>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</si>
  <si>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</si>
  <si>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</si>
  <si>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</si>
  <si>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</si>
  <si>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</si>
  <si>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</si>
  <si>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</si>
  <si>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</si>
  <si>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</si>
  <si>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</si>
  <si>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</si>
  <si>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</si>
  <si>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</si>
  <si>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</si>
  <si>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</si>
  <si>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</si>
  <si>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</si>
  <si>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</si>
  <si>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</si>
  <si>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</si>
  <si>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</si>
  <si>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</si>
  <si>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</si>
  <si>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</si>
  <si>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</si>
  <si>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</si>
  <si>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</si>
  <si>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</si>
  <si>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</si>
  <si>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</si>
  <si>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</si>
  <si>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</si>
  <si>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</si>
  <si>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</si>
  <si>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</si>
  <si>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</si>
  <si>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</si>
  <si>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</si>
  <si>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</si>
  <si>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</si>
  <si>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</si>
  <si>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</si>
  <si>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</si>
  <si>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</si>
  <si>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</si>
  <si>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</si>
  <si>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</si>
  <si>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</si>
  <si>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</si>
  <si>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</si>
  <si>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</si>
  <si>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</si>
  <si>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</si>
  <si>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</si>
  <si>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</si>
  <si>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</si>
  <si>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</si>
  <si>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</si>
  <si>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</si>
  <si>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</si>
  <si>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</si>
  <si>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</si>
  <si>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</si>
  <si>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</si>
  <si>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</si>
  <si>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</si>
  <si>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</si>
  <si>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</si>
  <si>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</si>
  <si>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</si>
  <si>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</si>
  <si>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</si>
  <si>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</si>
  <si>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</si>
  <si>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</si>
  <si>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</si>
  <si>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</si>
  <si>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</si>
  <si>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</si>
  <si>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</si>
  <si>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</si>
  <si>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</si>
  <si>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</si>
  <si>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</si>
  <si>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</si>
  <si>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</si>
  <si>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</si>
  <si>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</si>
  <si>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</si>
  <si>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</si>
  <si>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</si>
  <si>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</si>
  <si>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</si>
  <si>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</si>
  <si>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</si>
  <si>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</si>
  <si>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</si>
  <si>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</si>
  <si>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</si>
  <si>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</si>
  <si>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</si>
  <si>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</si>
  <si>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</si>
  <si>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</si>
  <si>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</si>
  <si>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</si>
  <si>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</si>
  <si>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</si>
  <si>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</si>
  <si>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</si>
  <si>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</si>
  <si>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</si>
  <si>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</si>
  <si>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</si>
  <si>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</si>
  <si>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</si>
  <si>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</si>
  <si>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</si>
  <si>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</si>
  <si>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</si>
  <si>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</si>
  <si>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</si>
  <si>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</si>
  <si>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</si>
  <si>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</si>
  <si>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</si>
  <si>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</si>
  <si>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</si>
  <si>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</si>
  <si>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</si>
  <si>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</si>
  <si>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</si>
  <si>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</si>
  <si>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</si>
  <si>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</si>
  <si>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</si>
  <si>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</si>
  <si>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</si>
  <si>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</si>
  <si>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</si>
  <si>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</si>
  <si>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</si>
  <si>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</si>
  <si>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</si>
  <si>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</si>
  <si>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</si>
  <si>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</si>
  <si>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</si>
  <si>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</si>
  <si>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</si>
  <si>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</si>
  <si>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</si>
  <si>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</si>
  <si>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</si>
  <si>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</si>
  <si>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</si>
  <si>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</si>
  <si>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</si>
  <si>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</si>
  <si>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</si>
  <si>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</si>
  <si>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</si>
  <si>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</si>
  <si>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</si>
  <si>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</si>
  <si>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</si>
  <si>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</si>
  <si>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</si>
  <si>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</si>
  <si>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</si>
  <si>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</si>
  <si>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</si>
  <si>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</si>
  <si>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</si>
  <si>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</si>
  <si>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</si>
  <si>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</si>
  <si>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</si>
  <si>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</si>
  <si>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</si>
  <si>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</si>
  <si>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</si>
  <si>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</si>
  <si>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</si>
  <si>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</si>
  <si>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</si>
  <si>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</si>
  <si>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</si>
  <si>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</si>
  <si>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</si>
  <si>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</si>
  <si>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</si>
  <si>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</si>
  <si>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</si>
  <si>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</si>
  <si>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</si>
  <si>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</si>
  <si>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</si>
  <si>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</si>
  <si>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</si>
  <si>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</si>
  <si>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</si>
  <si>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</si>
  <si>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</si>
  <si>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</si>
  <si>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</si>
  <si>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</si>
  <si>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</si>
  <si>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</si>
  <si>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</si>
  <si>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</si>
  <si>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</si>
  <si>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</si>
  <si>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</si>
  <si>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</si>
  <si>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</si>
  <si>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</si>
  <si>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</si>
  <si>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</si>
  <si>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</si>
  <si>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</si>
  <si>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</si>
  <si>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</si>
  <si>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</si>
  <si>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</si>
  <si>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</si>
  <si>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</si>
  <si>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</si>
  <si>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</si>
  <si>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</si>
  <si>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</si>
  <si>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</si>
  <si>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</si>
  <si>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</si>
  <si>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</si>
  <si>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</si>
  <si>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</si>
  <si>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</si>
  <si>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</si>
  <si>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</si>
  <si>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</si>
  <si>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</si>
  <si>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</si>
  <si>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</si>
  <si>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</si>
  <si>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</si>
  <si>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</si>
  <si>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</si>
  <si>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</si>
  <si>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</si>
  <si>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</si>
  <si>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</si>
  <si>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</si>
  <si>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</si>
  <si>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</si>
  <si>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</si>
  <si>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</si>
  <si>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</si>
  <si>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</si>
  <si>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</si>
  <si>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</si>
  <si>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</si>
  <si>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</si>
  <si>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</si>
  <si>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</si>
  <si>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</si>
  <si>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</si>
  <si>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</si>
  <si>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</si>
  <si>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</si>
  <si>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</si>
  <si>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</si>
  <si>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</si>
  <si>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</si>
  <si>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</si>
  <si>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</si>
  <si>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</si>
  <si>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</si>
  <si>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</si>
  <si>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</si>
  <si>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</si>
  <si>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</si>
  <si>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</si>
  <si>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</si>
  <si>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</si>
  <si>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</si>
  <si>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</si>
  <si>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</si>
  <si>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</si>
  <si>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</si>
  <si>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</si>
  <si>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</si>
  <si>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</si>
  <si>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</si>
  <si>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</si>
  <si>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</si>
  <si>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</si>
  <si>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</si>
  <si>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</si>
  <si>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</si>
  <si>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</si>
  <si>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</si>
  <si>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</si>
  <si>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</si>
  <si>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</si>
  <si>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</si>
  <si>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</si>
  <si>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</si>
  <si>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</si>
  <si>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</si>
  <si>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</si>
  <si>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</si>
  <si>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</si>
  <si>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</si>
  <si>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</si>
  <si>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</si>
  <si>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</si>
  <si>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</si>
  <si>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</si>
  <si>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</si>
  <si>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</si>
  <si>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</si>
  <si>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</si>
  <si>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</si>
  <si>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</si>
  <si>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</si>
  <si>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</si>
  <si>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</si>
  <si>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</si>
  <si>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</si>
  <si>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</si>
  <si>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</si>
  <si>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</si>
  <si>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</si>
  <si>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</si>
  <si>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</si>
  <si>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</si>
  <si>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</si>
  <si>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</si>
  <si>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</si>
  <si>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</si>
  <si>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</si>
  <si>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</si>
  <si>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</si>
  <si>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</si>
  <si>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</si>
  <si>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</si>
  <si>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</si>
  <si>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</si>
  <si>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</si>
  <si>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</si>
  <si>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</si>
  <si>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</si>
  <si>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</si>
  <si>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</si>
  <si>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</si>
  <si>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</si>
  <si>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</si>
  <si>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</si>
  <si>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</si>
  <si>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</si>
  <si>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</si>
  <si>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</si>
  <si>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</si>
  <si>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</si>
  <si>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</si>
  <si>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</si>
  <si>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</si>
  <si>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</si>
  <si>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</si>
  <si>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</si>
  <si>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</si>
  <si>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</si>
  <si>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</si>
  <si>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</si>
  <si>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</si>
  <si>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</si>
  <si>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</si>
  <si>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</si>
  <si>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</si>
  <si>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</si>
  <si>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</si>
  <si>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</si>
  <si>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</si>
  <si>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</si>
  <si>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</si>
  <si>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</si>
  <si>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</si>
  <si>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</si>
  <si>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</si>
  <si>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</si>
  <si>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</si>
  <si>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</si>
  <si>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</si>
  <si>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</si>
  <si>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</si>
  <si>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</si>
  <si>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</si>
  <si>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</si>
  <si>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</si>
  <si>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</si>
  <si>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</si>
  <si>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</si>
  <si>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</si>
  <si>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</si>
  <si>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</si>
  <si>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</si>
  <si>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</si>
  <si>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</si>
  <si>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</si>
  <si>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</si>
  <si>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</si>
  <si>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</si>
  <si>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</si>
  <si>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</si>
  <si>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</si>
  <si>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</si>
  <si>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</si>
  <si>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</si>
  <si>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</si>
  <si>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</si>
  <si>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</si>
  <si>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</si>
  <si>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</si>
  <si>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</si>
  <si>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</si>
  <si>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</si>
  <si>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</si>
  <si>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</si>
  <si>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</si>
  <si>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</si>
  <si>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</si>
  <si>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</si>
  <si>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</si>
  <si>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</si>
  <si>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</si>
  <si>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</si>
  <si>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</si>
  <si>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</si>
  <si>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</si>
  <si>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</si>
  <si>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</si>
  <si>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</si>
  <si>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</si>
  <si>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</si>
  <si>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</si>
  <si>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</si>
  <si>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</si>
  <si>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</si>
  <si>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</si>
  <si>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</si>
  <si>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</si>
  <si>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</si>
  <si>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</si>
  <si>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</si>
  <si>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</si>
  <si>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</si>
  <si>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</si>
  <si>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</si>
  <si>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</si>
  <si>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</si>
  <si>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</si>
  <si>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</si>
  <si>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</si>
  <si>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</si>
  <si>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</si>
  <si>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</si>
  <si>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</si>
  <si>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</si>
  <si>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</si>
  <si>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</si>
  <si>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</si>
  <si>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</si>
  <si>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</si>
  <si>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</si>
  <si>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</si>
  <si>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</si>
  <si>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</si>
  <si>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</si>
  <si>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</si>
  <si>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</si>
  <si>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</si>
  <si>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</si>
  <si>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</si>
  <si>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</si>
  <si>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</si>
  <si>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</si>
  <si>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</si>
  <si>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</si>
  <si>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</si>
  <si>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</si>
  <si>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</si>
  <si>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</si>
  <si>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</si>
  <si>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</si>
  <si>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</si>
  <si>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</si>
  <si>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</si>
  <si>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</si>
  <si>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</si>
  <si>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</si>
  <si>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</si>
  <si>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</si>
  <si>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</si>
  <si>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</si>
  <si>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</si>
  <si>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</si>
  <si>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</si>
  <si>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</si>
  <si>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</si>
  <si>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</si>
  <si>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</si>
  <si>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</si>
  <si>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</si>
  <si>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</si>
  <si>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</si>
  <si>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</si>
  <si>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</si>
  <si>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</si>
  <si>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</si>
  <si>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</si>
  <si>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</si>
  <si>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</si>
  <si>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</si>
  <si>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</si>
  <si>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</si>
  <si>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</si>
  <si>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</si>
  <si>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</si>
  <si>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</si>
  <si>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</si>
  <si>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</si>
  <si>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</si>
  <si>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</si>
  <si>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</si>
  <si>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</si>
  <si>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</si>
  <si>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</si>
  <si>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</si>
  <si>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</si>
  <si>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</si>
  <si>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</si>
  <si>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</si>
  <si>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</si>
  <si>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</si>
  <si>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</si>
  <si>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</si>
  <si>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</si>
  <si>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</si>
  <si>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</si>
  <si>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</si>
  <si>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</si>
  <si>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</si>
  <si>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</si>
  <si>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</si>
  <si>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</si>
  <si>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</si>
  <si>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</si>
  <si>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</si>
  <si>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</si>
  <si>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</si>
  <si>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</si>
  <si>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</si>
  <si>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</si>
  <si>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</si>
  <si>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</si>
  <si>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</si>
  <si>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</si>
  <si>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</si>
  <si>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</si>
  <si>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</si>
  <si>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</si>
  <si>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</si>
  <si>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</si>
  <si>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</si>
  <si>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</si>
  <si>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</si>
  <si>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</si>
  <si>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</si>
  <si>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</si>
  <si>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</si>
  <si>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</si>
  <si>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</si>
  <si>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</si>
  <si>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</si>
  <si>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</si>
  <si>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</si>
  <si>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</si>
  <si>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</si>
  <si>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</si>
  <si>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</si>
  <si>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</si>
  <si>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</si>
  <si>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</si>
  <si>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</si>
  <si>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</si>
  <si>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</si>
  <si>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</si>
  <si>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</si>
  <si>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</si>
  <si>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</si>
  <si>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</si>
  <si>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</si>
  <si>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</si>
  <si>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</si>
  <si>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</si>
  <si>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</si>
  <si>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</si>
  <si>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</si>
  <si>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</si>
  <si>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</si>
  <si>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</si>
  <si>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</si>
  <si>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</si>
  <si>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</si>
  <si>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</si>
  <si>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</si>
  <si>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</si>
  <si>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</si>
  <si>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</si>
  <si>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</si>
  <si>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</si>
  <si>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</si>
  <si>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</si>
  <si>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</si>
  <si>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</si>
  <si>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</si>
  <si>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</si>
  <si>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</si>
  <si>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</si>
  <si>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</si>
  <si>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</si>
  <si>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</si>
  <si>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</si>
  <si>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</si>
  <si>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</si>
  <si>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</si>
  <si>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</si>
  <si>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</si>
  <si>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</si>
  <si>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</si>
  <si>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</si>
  <si>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</si>
  <si>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</si>
  <si>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</si>
  <si>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</si>
  <si>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</si>
  <si>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</si>
  <si>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</si>
  <si>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</si>
  <si>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</si>
  <si>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</si>
  <si>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</si>
  <si>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</si>
  <si>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</si>
  <si>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</si>
  <si>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</si>
  <si>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</si>
  <si>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</si>
  <si>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</si>
  <si>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</si>
  <si>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</si>
  <si>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</si>
  <si>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</si>
  <si>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</si>
  <si>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</si>
  <si>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</si>
  <si>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</si>
  <si>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</si>
  <si>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</si>
  <si>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</si>
  <si>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</si>
  <si>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</si>
  <si>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</si>
  <si>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</si>
  <si>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</si>
  <si>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</si>
  <si>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</si>
  <si>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</si>
  <si>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</si>
  <si>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</si>
  <si>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</si>
  <si>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</si>
  <si>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</si>
  <si>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</si>
  <si>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</si>
  <si>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</si>
  <si>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</si>
  <si>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</si>
  <si>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</si>
  <si>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</si>
  <si>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</si>
  <si>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</si>
  <si>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</si>
  <si>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</si>
  <si>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</si>
  <si>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</si>
  <si>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</si>
  <si>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</si>
  <si>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</si>
  <si>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</si>
  <si>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</si>
  <si>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</si>
  <si>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</si>
  <si>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</si>
  <si>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</si>
  <si>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</si>
  <si>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</si>
  <si>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</si>
  <si>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</si>
  <si>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</si>
  <si>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</si>
  <si>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</si>
  <si>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</si>
  <si>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</si>
  <si>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</si>
  <si>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</si>
  <si>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</si>
  <si>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</si>
  <si>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</si>
  <si>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</si>
  <si>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</si>
  <si>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</si>
  <si>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</si>
  <si>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</si>
  <si>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</si>
  <si>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</si>
  <si>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</si>
  <si>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</si>
  <si>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</si>
  <si>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</si>
  <si>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</si>
  <si>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</si>
  <si>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</si>
  <si>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</si>
  <si>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</si>
  <si>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</si>
  <si>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</si>
  <si>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</si>
  <si>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</si>
  <si>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</si>
  <si>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</si>
  <si>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</si>
  <si>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</si>
  <si>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</si>
  <si>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</si>
  <si>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</si>
  <si>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</si>
  <si>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</si>
  <si>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</si>
  <si>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</si>
  <si>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</si>
  <si>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</si>
  <si>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</si>
  <si>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</si>
  <si>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</si>
  <si>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</si>
  <si>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</si>
  <si>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</si>
  <si>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</si>
  <si>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</si>
  <si>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</si>
  <si>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</si>
  <si>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</si>
  <si>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</si>
  <si>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</si>
  <si>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</si>
  <si>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</si>
  <si>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</si>
  <si>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</si>
  <si>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</si>
  <si>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</si>
  <si>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</si>
  <si>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</si>
  <si>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</si>
  <si>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</si>
  <si>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</si>
  <si>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</si>
  <si>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</si>
  <si>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</si>
  <si>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</si>
  <si>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</si>
  <si>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</si>
  <si>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</si>
  <si>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</si>
  <si>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</si>
  <si>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</si>
  <si>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</si>
  <si>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</si>
  <si>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</si>
  <si>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</si>
  <si>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</si>
  <si>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</si>
  <si>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</si>
  <si>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</si>
  <si>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</si>
  <si>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</si>
  <si>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</si>
  <si>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</si>
  <si>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</si>
  <si>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</si>
  <si>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</si>
  <si>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</si>
  <si>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</si>
  <si>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</si>
  <si>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</si>
  <si>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</si>
  <si>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</si>
  <si>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</si>
  <si>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</si>
  <si>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</si>
  <si>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</si>
  <si>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</si>
  <si>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</si>
  <si>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</si>
  <si>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</si>
  <si>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</si>
  <si>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</si>
  <si>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</si>
  <si>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</si>
  <si>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</si>
  <si>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</si>
  <si>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</si>
  <si>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</si>
  <si>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</si>
  <si>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</si>
  <si>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</si>
  <si>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</si>
  <si>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</si>
  <si>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</si>
  <si>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</si>
  <si>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</si>
  <si>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</si>
  <si>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</si>
  <si>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</si>
  <si>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</si>
  <si>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</si>
  <si>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</si>
  <si>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</si>
  <si>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</si>
  <si>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</si>
  <si>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</si>
  <si>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</si>
  <si>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</si>
  <si>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</si>
  <si>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</si>
  <si>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</si>
  <si>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</si>
  <si>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</si>
  <si>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</si>
  <si>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</si>
  <si>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</si>
  <si>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</si>
  <si>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</si>
  <si>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</si>
  <si>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</si>
  <si>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</si>
  <si>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</si>
  <si>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</si>
  <si>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</si>
  <si>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</si>
  <si>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</si>
  <si>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</si>
  <si>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</si>
  <si>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</si>
  <si>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</si>
  <si>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</si>
  <si>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</si>
  <si>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</si>
  <si>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</si>
  <si>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</si>
  <si>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</si>
  <si>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</si>
  <si>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</si>
  <si>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</si>
  <si>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</si>
  <si>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</si>
  <si>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</si>
  <si>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</si>
  <si>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</si>
  <si>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</si>
  <si>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</si>
  <si>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</si>
  <si>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</si>
  <si>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</si>
  <si>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</si>
  <si>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</si>
  <si>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</si>
  <si>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</si>
  <si>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</si>
  <si>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</si>
  <si>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</si>
  <si>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</si>
  <si>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</si>
  <si>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</si>
  <si>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</si>
  <si>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</si>
  <si>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</si>
  <si>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</si>
  <si>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</si>
  <si>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</si>
  <si>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</si>
  <si>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</si>
  <si>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</si>
  <si>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</si>
  <si>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</si>
  <si>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</si>
  <si>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</si>
  <si>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</si>
  <si>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</si>
  <si>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</si>
  <si>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</si>
  <si>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</si>
  <si>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</si>
  <si>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</si>
  <si>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</si>
  <si>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</si>
  <si>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</si>
  <si>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</si>
  <si>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</si>
  <si>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</si>
  <si>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</si>
  <si>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</si>
  <si>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</si>
  <si>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</si>
  <si>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</si>
  <si>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</si>
  <si>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</si>
  <si>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</si>
  <si>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</si>
  <si>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</si>
  <si>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</si>
  <si>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</si>
  <si>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</si>
  <si>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</si>
  <si>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</si>
  <si>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</si>
  <si>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</si>
  <si>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</si>
  <si>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</si>
  <si>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</si>
  <si>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</si>
  <si>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</si>
  <si>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</si>
  <si>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</si>
  <si>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</si>
  <si>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</si>
  <si>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</si>
  <si>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</si>
  <si>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</si>
  <si>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</si>
  <si>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</si>
  <si>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</si>
  <si>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</si>
  <si>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</si>
  <si>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</si>
  <si>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</si>
  <si>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</si>
  <si>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</si>
  <si>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</si>
  <si>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</si>
  <si>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</si>
  <si>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</si>
  <si>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</si>
  <si>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</si>
  <si>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</si>
  <si>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</si>
  <si>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</si>
  <si>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</si>
  <si>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</si>
  <si>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</si>
  <si>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</si>
  <si>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</si>
  <si>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</si>
  <si>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</si>
  <si>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</si>
  <si>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</si>
  <si>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</si>
  <si>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</si>
  <si>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</si>
  <si>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</si>
  <si>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</si>
  <si>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</si>
  <si>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</si>
  <si>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</si>
  <si>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</si>
  <si>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</si>
  <si>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</si>
  <si>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</si>
  <si>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</si>
  <si>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</si>
  <si>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</si>
  <si>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</si>
  <si>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</si>
  <si>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</si>
  <si>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</si>
  <si>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</si>
  <si>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</si>
  <si>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</si>
  <si>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</si>
  <si>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</si>
  <si>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</si>
  <si>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</si>
  <si>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</si>
  <si>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</si>
  <si>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</si>
  <si>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</si>
  <si>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</si>
  <si>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</si>
  <si>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</si>
  <si>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</si>
  <si>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</si>
  <si>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</si>
  <si>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</si>
  <si>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</si>
  <si>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</si>
  <si>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</si>
  <si>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</si>
  <si>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</si>
  <si>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</si>
  <si>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</si>
  <si>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</si>
  <si>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</si>
  <si>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</si>
  <si>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</si>
  <si>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</si>
  <si>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</si>
  <si>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</si>
  <si>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</si>
  <si>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</si>
  <si>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</si>
  <si>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</si>
  <si>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</si>
  <si>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</si>
  <si>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</si>
  <si>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</si>
  <si>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</si>
  <si>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</si>
  <si>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</si>
  <si>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</si>
  <si>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</si>
  <si>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</si>
  <si>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</si>
  <si>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</si>
  <si>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</si>
  <si>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</si>
  <si>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</si>
  <si>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</si>
  <si>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</si>
  <si>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</si>
  <si>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</si>
  <si>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</si>
  <si>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</si>
  <si>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</si>
  <si>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</si>
  <si>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</si>
  <si>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</si>
  <si>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</si>
  <si>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</si>
  <si>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</si>
  <si>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</si>
  <si>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</si>
  <si>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</si>
  <si>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</si>
  <si>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</si>
  <si>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</si>
  <si>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</si>
  <si>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</si>
  <si>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</si>
  <si>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</si>
  <si>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</si>
  <si>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</si>
  <si>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</si>
  <si>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</si>
  <si>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</si>
  <si>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</si>
  <si>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</si>
  <si>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</si>
  <si>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</si>
  <si>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</si>
  <si>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</si>
  <si>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</si>
  <si>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</si>
  <si>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</si>
  <si>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</si>
  <si>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</si>
  <si>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</si>
  <si>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</si>
  <si>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</si>
  <si>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</si>
  <si>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</si>
  <si>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</si>
  <si>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</si>
  <si>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</si>
  <si>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</si>
  <si>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</si>
  <si>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</si>
  <si>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</si>
  <si>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</si>
  <si>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</si>
  <si>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</si>
  <si>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</si>
  <si>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</si>
  <si>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</si>
  <si>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</si>
  <si>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</si>
  <si>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</si>
  <si>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</si>
  <si>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</si>
  <si>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</si>
  <si>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</si>
  <si>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</si>
  <si>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</si>
  <si>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</si>
  <si>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</si>
  <si>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</si>
  <si>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</si>
  <si>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</si>
  <si>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</si>
  <si>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</si>
  <si>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</si>
  <si>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</si>
  <si>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</si>
  <si>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</si>
  <si>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</si>
  <si>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</si>
  <si>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</si>
  <si>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</si>
  <si>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</si>
  <si>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</si>
  <si>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</si>
  <si>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</si>
  <si>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</si>
  <si>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</si>
  <si>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</si>
  <si>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</si>
  <si>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</si>
  <si>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</si>
  <si>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</si>
  <si>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</si>
  <si>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</si>
  <si>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</si>
  <si>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</si>
  <si>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</si>
  <si>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</si>
  <si>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</si>
  <si>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</si>
  <si>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</si>
  <si>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</si>
  <si>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</si>
  <si>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</si>
  <si>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</si>
  <si>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</si>
  <si>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</si>
  <si>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</si>
  <si>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</si>
  <si>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</si>
  <si>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</si>
  <si>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</si>
  <si>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</si>
  <si>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</si>
  <si>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</si>
  <si>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</si>
  <si>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</si>
  <si>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</si>
  <si>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</si>
  <si>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</si>
  <si>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</si>
  <si>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</si>
  <si>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</si>
  <si>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</si>
  <si>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</si>
  <si>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</si>
  <si>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</si>
  <si>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</si>
  <si>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</si>
  <si>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</si>
  <si>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</si>
  <si>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</si>
  <si>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</si>
  <si>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</si>
  <si>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</si>
  <si>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</si>
  <si>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</si>
  <si>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</si>
  <si>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</si>
  <si>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</si>
  <si>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</si>
  <si>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</si>
  <si>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</si>
  <si>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</si>
  <si>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</si>
  <si>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</si>
  <si>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</si>
  <si>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</si>
  <si>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</si>
  <si>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</si>
  <si>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</si>
  <si>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</si>
  <si>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</si>
  <si>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</si>
  <si>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</si>
  <si>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</si>
  <si>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</si>
  <si>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</si>
  <si>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</si>
  <si>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</si>
  <si>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</si>
  <si>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</si>
  <si>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</si>
  <si>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</si>
  <si>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</si>
  <si>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</si>
  <si>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</si>
  <si>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</si>
  <si>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</si>
  <si>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</si>
  <si>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</si>
  <si>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</si>
  <si>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</si>
  <si>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</si>
  <si>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</si>
  <si>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</si>
  <si>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</si>
  <si>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</si>
  <si>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</si>
  <si>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</si>
  <si>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</si>
  <si>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</si>
  <si>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</si>
  <si>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</si>
  <si>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</si>
  <si>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</si>
  <si>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</si>
  <si>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</si>
  <si>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</si>
  <si>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</si>
  <si>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</si>
  <si>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</si>
  <si>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</si>
  <si>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</si>
  <si>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</si>
  <si>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</si>
  <si>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</si>
  <si>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</si>
  <si>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</si>
  <si>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</si>
  <si>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</si>
  <si>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</si>
  <si>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</si>
  <si>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</si>
  <si>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</si>
  <si>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</si>
  <si>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</si>
  <si>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</si>
  <si>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</si>
  <si>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</si>
  <si>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</si>
  <si>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</si>
  <si>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</si>
  <si>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</si>
  <si>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</si>
  <si>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</si>
  <si>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</si>
  <si>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</si>
  <si>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</si>
  <si>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</si>
  <si>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</si>
  <si>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</si>
  <si>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</si>
  <si>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</si>
  <si>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</si>
  <si>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</si>
  <si>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</si>
  <si>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</si>
  <si>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</si>
  <si>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</si>
  <si>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</si>
  <si>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</si>
  <si>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</si>
  <si>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</si>
  <si>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</si>
  <si>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</si>
  <si>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</si>
  <si>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</si>
  <si>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</si>
  <si>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</si>
  <si>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</si>
  <si>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</si>
  <si>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</si>
  <si>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</si>
  <si>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</si>
  <si>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</si>
  <si>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</si>
  <si>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</si>
  <si>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</si>
  <si>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</si>
  <si>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</si>
  <si>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</si>
  <si>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</si>
  <si>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</si>
  <si>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</si>
  <si>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</si>
  <si>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</si>
  <si>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</si>
  <si>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</si>
  <si>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</si>
  <si>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</si>
  <si>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</si>
  <si>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</si>
  <si>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</si>
  <si>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</si>
  <si>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</si>
  <si>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</si>
  <si>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</si>
  <si>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</si>
  <si>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</si>
  <si>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</si>
  <si>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</si>
  <si>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</si>
  <si>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</si>
  <si>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</si>
  <si>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</si>
  <si>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</si>
  <si>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</si>
  <si>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</si>
  <si>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</si>
  <si>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</si>
  <si>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</si>
  <si>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</si>
  <si>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</si>
  <si>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</si>
  <si>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</si>
  <si>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</si>
  <si>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</si>
  <si>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</si>
  <si>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</si>
  <si>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</si>
  <si>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</si>
  <si>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</si>
  <si>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</si>
  <si>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</si>
  <si>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</si>
  <si>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</si>
  <si>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</si>
  <si>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</si>
  <si>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</si>
  <si>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</si>
  <si>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</si>
  <si>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</si>
  <si>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</si>
  <si>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</si>
  <si>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</si>
  <si>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</si>
  <si>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</si>
  <si>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</si>
  <si>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</si>
  <si>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</si>
  <si>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</si>
  <si>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</si>
  <si>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</si>
  <si>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</si>
  <si>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</si>
  <si>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</si>
  <si>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</si>
  <si>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</si>
  <si>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</si>
  <si>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</si>
  <si>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</si>
  <si>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</si>
  <si>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</si>
  <si>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</si>
  <si>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</si>
  <si>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</si>
  <si>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</si>
  <si>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</si>
  <si>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</si>
  <si>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</si>
  <si>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</si>
  <si>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</si>
  <si>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</si>
  <si>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</si>
  <si>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</si>
  <si>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</si>
  <si>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</si>
  <si>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</si>
  <si>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</si>
  <si>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</si>
  <si>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</si>
  <si>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</si>
  <si>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</si>
  <si>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</si>
  <si>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</si>
  <si>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</si>
  <si>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</si>
  <si>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</si>
  <si>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</si>
  <si>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</si>
  <si>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</si>
  <si>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</si>
  <si>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</si>
  <si>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</si>
  <si>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</si>
  <si>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</si>
  <si>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</si>
  <si>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</si>
  <si>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</si>
  <si>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</si>
  <si>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</si>
  <si>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</si>
  <si>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</si>
  <si>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</si>
  <si>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</si>
  <si>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</si>
  <si>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</si>
  <si>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</si>
  <si>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</si>
  <si>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</si>
  <si>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</si>
  <si>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</si>
  <si>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</si>
  <si>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</si>
  <si>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</si>
  <si>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</si>
  <si>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</si>
  <si>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</si>
  <si>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</si>
  <si>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</si>
  <si>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</si>
  <si>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</si>
  <si>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</si>
  <si>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</si>
  <si>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</si>
  <si>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</si>
  <si>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</si>
  <si>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</si>
  <si>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</si>
  <si>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</si>
  <si>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</si>
  <si>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</si>
  <si>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</si>
  <si>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</si>
  <si>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</si>
  <si>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</si>
  <si>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</si>
  <si>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</si>
  <si>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</si>
  <si>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</si>
  <si>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</si>
  <si>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</si>
  <si>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</si>
  <si>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</si>
  <si>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</si>
  <si>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</si>
  <si>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</si>
  <si>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</si>
  <si>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</si>
  <si>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</si>
  <si>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</si>
  <si>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</si>
  <si>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</si>
  <si>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</si>
  <si>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</si>
  <si>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</si>
  <si>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</si>
  <si>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</si>
  <si>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</si>
  <si>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</si>
  <si>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</si>
  <si>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</si>
  <si>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</si>
  <si>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</si>
  <si>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</si>
  <si>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</si>
  <si>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</si>
  <si>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</si>
  <si>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</si>
  <si>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</si>
  <si>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</si>
  <si>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</si>
  <si>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</si>
  <si>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</si>
  <si>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</si>
  <si>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</si>
  <si>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</si>
  <si>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</si>
  <si>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</si>
  <si>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</si>
  <si>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</si>
  <si>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</si>
  <si>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</si>
  <si>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</si>
  <si>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</si>
  <si>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</si>
  <si>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</si>
  <si>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</si>
  <si>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</si>
  <si>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</si>
  <si>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</si>
  <si>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</si>
  <si>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</si>
  <si>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</si>
  <si>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</si>
  <si>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</si>
  <si>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</si>
  <si>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</si>
  <si>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</si>
  <si>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</si>
  <si>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</si>
  <si>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</si>
  <si>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</si>
  <si>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</si>
  <si>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</si>
  <si>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</si>
  <si>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</si>
  <si>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</si>
  <si>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</si>
  <si>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</si>
  <si>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</si>
  <si>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</si>
  <si>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</si>
  <si>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</si>
  <si>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</si>
  <si>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</si>
  <si>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</si>
  <si>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</si>
  <si>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</si>
  <si>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</si>
  <si>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</si>
  <si>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</si>
  <si>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</si>
  <si>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</si>
  <si>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</si>
  <si>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</si>
  <si>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</si>
  <si>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</si>
  <si>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</si>
  <si>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</si>
  <si>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</si>
  <si>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</si>
  <si>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</si>
  <si>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</si>
  <si>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</si>
  <si>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</si>
  <si>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</si>
  <si>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</si>
  <si>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</si>
  <si>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</si>
  <si>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</si>
  <si>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</si>
  <si>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</si>
  <si>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</si>
  <si>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</si>
  <si>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</si>
  <si>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</si>
  <si>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</si>
  <si>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</si>
  <si>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</si>
  <si>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</si>
  <si>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</si>
  <si>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</si>
  <si>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</si>
  <si>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</si>
  <si>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</si>
  <si>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</si>
  <si>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</si>
  <si>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</si>
  <si>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</si>
  <si>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</si>
  <si>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</si>
  <si>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</si>
  <si>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</si>
  <si>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</si>
  <si>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</si>
  <si>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</si>
  <si>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</si>
  <si>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</si>
  <si>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</si>
  <si>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</si>
  <si>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</si>
  <si>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</si>
  <si>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</si>
  <si>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</si>
  <si>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</si>
  <si>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</si>
  <si>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</si>
  <si>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</si>
  <si>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</si>
  <si>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</si>
  <si>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</si>
  <si>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</si>
  <si>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</si>
  <si>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</si>
  <si>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</si>
  <si>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</si>
  <si>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</si>
  <si>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</si>
  <si>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</si>
  <si>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</si>
  <si>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</si>
  <si>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</si>
  <si>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</si>
  <si>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</si>
  <si>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</si>
  <si>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</si>
  <si>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</si>
  <si>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</si>
  <si>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</si>
  <si>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</si>
  <si>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</si>
  <si>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</si>
  <si>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</si>
  <si>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</si>
  <si>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</si>
  <si>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</si>
  <si>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</si>
  <si>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</si>
  <si>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</si>
  <si>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</si>
  <si>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</si>
  <si>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</si>
  <si>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</si>
  <si>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</si>
  <si>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</si>
  <si>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</si>
  <si>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</si>
  <si>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</si>
  <si>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</si>
  <si>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</si>
  <si>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</si>
  <si>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</si>
  <si>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</si>
  <si>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</si>
  <si>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</si>
  <si>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</si>
  <si>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</si>
  <si>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</si>
  <si>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</si>
  <si>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</si>
  <si>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</si>
  <si>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</si>
  <si>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</si>
  <si>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</si>
  <si>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</si>
  <si>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</si>
  <si>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</si>
  <si>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</si>
  <si>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</si>
  <si>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</si>
  <si>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</si>
  <si>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</si>
  <si>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</si>
  <si>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</si>
  <si>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</si>
  <si>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</si>
  <si>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</si>
  <si>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</si>
  <si>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</si>
  <si>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</si>
  <si>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</si>
  <si>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</si>
  <si>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</si>
  <si>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</si>
  <si>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</si>
  <si>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</si>
  <si>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</si>
  <si>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</si>
  <si>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</si>
  <si>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</si>
  <si>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</si>
  <si>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</si>
  <si>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</si>
  <si>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</si>
  <si>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</si>
  <si>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</si>
  <si>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</si>
  <si>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</si>
  <si>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</si>
  <si>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</si>
  <si>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</si>
  <si>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</si>
  <si>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</si>
  <si>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</si>
  <si>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</si>
  <si>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</si>
  <si>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</si>
  <si>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</si>
  <si>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</si>
  <si>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</si>
  <si>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</si>
  <si>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</si>
  <si>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</si>
  <si>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</si>
  <si>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</si>
  <si>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</si>
  <si>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</si>
  <si>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</si>
  <si>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</si>
  <si>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</si>
  <si>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</si>
  <si>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</si>
  <si>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</si>
  <si>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</si>
  <si>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</si>
  <si>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</si>
  <si>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</si>
  <si>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</si>
  <si>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</si>
  <si>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</si>
  <si>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</si>
  <si>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</si>
  <si>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</si>
  <si>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</si>
  <si>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</si>
  <si>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</si>
  <si>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</si>
  <si>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</si>
  <si>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</si>
  <si>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</si>
  <si>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</si>
  <si>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</si>
  <si>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</si>
  <si>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</si>
  <si>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</si>
  <si>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</si>
  <si>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</si>
  <si>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</si>
  <si>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</si>
  <si>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</si>
  <si>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</si>
  <si>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</si>
  <si>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</si>
  <si>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</si>
  <si>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</si>
  <si>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</si>
  <si>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</si>
  <si>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</si>
  <si>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</si>
  <si>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</si>
  <si>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</si>
  <si>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</si>
  <si>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</si>
  <si>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</si>
  <si>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</si>
  <si>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</si>
  <si>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</si>
  <si>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</si>
  <si>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</si>
  <si>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</si>
  <si>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</si>
  <si>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</si>
  <si>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</si>
  <si>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</si>
  <si>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</si>
  <si>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</si>
  <si>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</si>
  <si>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</si>
  <si>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</si>
  <si>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</si>
  <si>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</si>
  <si>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</si>
  <si>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</si>
  <si>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</si>
  <si>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</si>
  <si>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</si>
  <si>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</si>
  <si>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</si>
  <si>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</si>
  <si>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</si>
  <si>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</si>
  <si>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</si>
  <si>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</si>
  <si>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</si>
  <si>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</si>
  <si>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</si>
  <si>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</si>
  <si>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</si>
  <si>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</si>
  <si>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</si>
  <si>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</si>
  <si>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</si>
  <si>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</si>
  <si>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</si>
  <si>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</si>
  <si>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</si>
  <si>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</si>
  <si>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</si>
  <si>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</si>
  <si>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</si>
  <si>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</si>
  <si>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</si>
  <si>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</si>
  <si>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</si>
  <si>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</si>
  <si>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</si>
  <si>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</si>
  <si>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</si>
  <si>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</si>
  <si>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</si>
  <si>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</si>
  <si>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</si>
  <si>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</si>
  <si>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</si>
  <si>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</si>
  <si>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</si>
  <si>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</si>
  <si>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</si>
  <si>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</si>
  <si>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</si>
  <si>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</si>
  <si>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</si>
  <si>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</si>
  <si>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</si>
  <si>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</si>
  <si>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</si>
  <si>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</si>
  <si>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</si>
  <si>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</si>
  <si>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</si>
  <si>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</si>
  <si>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</si>
  <si>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</si>
  <si>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</si>
  <si>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</si>
  <si>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</si>
  <si>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</si>
  <si>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</si>
  <si>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</si>
  <si>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</si>
  <si>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</si>
  <si>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</si>
  <si>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</si>
  <si>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</si>
  <si>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</si>
  <si>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</si>
  <si>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</si>
  <si>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</si>
  <si>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</si>
  <si>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</si>
  <si>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</si>
  <si>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</si>
  <si>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</si>
  <si>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</si>
  <si>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</si>
  <si>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</si>
  <si>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</si>
  <si>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</si>
  <si>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</si>
  <si>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</si>
  <si>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</si>
  <si>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</si>
  <si>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</si>
  <si>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</si>
  <si>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</si>
  <si>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</si>
  <si>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</si>
  <si>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</si>
  <si>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</si>
  <si>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</si>
  <si>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</si>
  <si>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</si>
  <si>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</si>
  <si>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</si>
  <si>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</si>
  <si>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</si>
  <si>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</si>
  <si>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</si>
  <si>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</si>
  <si>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</si>
  <si>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</si>
  <si>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</si>
  <si>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</si>
  <si>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</si>
  <si>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</si>
  <si>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</si>
  <si>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</si>
  <si>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</si>
  <si>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</si>
  <si>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</si>
  <si>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</si>
  <si>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</si>
  <si>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</si>
  <si>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</si>
  <si>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</si>
  <si>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</si>
  <si>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</si>
  <si>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</si>
  <si>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</si>
  <si>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</si>
  <si>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</si>
  <si>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</si>
  <si>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</si>
  <si>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</si>
  <si>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</si>
  <si>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</si>
  <si>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</si>
  <si>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</si>
  <si>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</si>
  <si>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</si>
  <si>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</si>
  <si>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</si>
  <si>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</si>
  <si>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</si>
  <si>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</si>
  <si>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</si>
  <si>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</si>
  <si>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</si>
  <si>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</si>
  <si>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</si>
  <si>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</si>
  <si>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</si>
  <si>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</si>
  <si>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</si>
  <si>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</si>
  <si>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</si>
  <si>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</si>
  <si>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</si>
  <si>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</si>
  <si>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</si>
  <si>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</si>
  <si>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</si>
  <si>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</si>
  <si>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</si>
  <si>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</si>
  <si>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</si>
  <si>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</si>
  <si>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</si>
  <si>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</si>
  <si>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</si>
  <si>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</si>
  <si>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</si>
  <si>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</si>
  <si>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</si>
  <si>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</si>
  <si>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</si>
  <si>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</si>
  <si>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</si>
  <si>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</si>
  <si>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</si>
  <si>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</si>
  <si>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</si>
  <si>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</si>
  <si>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</si>
  <si>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</si>
  <si>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</si>
  <si>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</si>
  <si>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</si>
  <si>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</si>
  <si>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</si>
  <si>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</si>
  <si>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</si>
  <si>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</si>
  <si>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</si>
  <si>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</si>
  <si>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</si>
  <si>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</si>
  <si>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</si>
  <si>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</si>
  <si>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</si>
  <si>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</si>
  <si>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</si>
  <si>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</si>
  <si>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</si>
  <si>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</si>
  <si>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</si>
  <si>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</si>
  <si>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</si>
  <si>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</si>
  <si>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</si>
  <si>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</si>
  <si>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</si>
  <si>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</si>
  <si>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</si>
  <si>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</si>
  <si>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</si>
  <si>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</si>
  <si>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</si>
  <si>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</si>
  <si>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</si>
  <si>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</si>
  <si>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</si>
  <si>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</si>
  <si>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</si>
  <si>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</si>
  <si>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</si>
  <si>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</si>
  <si>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</si>
  <si>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</si>
  <si>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</si>
  <si>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</si>
  <si>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</si>
  <si>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</si>
  <si>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</si>
  <si>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</si>
  <si>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</si>
  <si>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</si>
  <si>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</si>
  <si>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</si>
  <si>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</si>
  <si>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</si>
  <si>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</si>
  <si>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</si>
  <si>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</si>
  <si>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</si>
  <si>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</si>
  <si>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</si>
  <si>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</si>
  <si>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</si>
  <si>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</si>
  <si>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</si>
  <si>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</si>
  <si>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</si>
  <si>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</si>
  <si>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</si>
  <si>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</si>
  <si>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</si>
  <si>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</si>
  <si>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</si>
  <si>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</si>
  <si>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</si>
  <si>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</si>
  <si>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</si>
  <si>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</si>
  <si>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</si>
  <si>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</si>
  <si>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</si>
  <si>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</si>
  <si>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</si>
  <si>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</si>
  <si>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</si>
  <si>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</si>
  <si>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</si>
  <si>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</si>
  <si>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</si>
  <si>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</si>
  <si>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</si>
  <si>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</si>
  <si>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</si>
  <si>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</si>
  <si>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</si>
  <si>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</si>
  <si>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</si>
  <si>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</si>
  <si>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</si>
  <si>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</si>
  <si>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</si>
  <si>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</si>
  <si>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</si>
  <si>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</si>
  <si>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</si>
  <si>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</si>
  <si>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</si>
  <si>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</si>
  <si>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</si>
  <si>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</si>
  <si>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</si>
  <si>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</si>
  <si>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</si>
  <si>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</si>
  <si>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</si>
  <si>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</si>
  <si>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</si>
  <si>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</si>
  <si>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</si>
  <si>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</si>
  <si>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</si>
  <si>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</si>
  <si>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</si>
  <si>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</si>
  <si>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</si>
  <si>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</si>
  <si>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</si>
  <si>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</si>
  <si>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</si>
  <si>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</si>
  <si>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</si>
  <si>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</si>
  <si>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</si>
  <si>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</si>
  <si>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</si>
  <si>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</si>
  <si>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</si>
  <si>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</si>
  <si>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</si>
  <si>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</si>
  <si>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</si>
  <si>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</si>
  <si>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</si>
  <si>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</si>
  <si>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</si>
  <si>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</si>
  <si>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</si>
  <si>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</si>
  <si>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</si>
  <si>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</si>
  <si>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</si>
  <si>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</si>
  <si>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</si>
  <si>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</si>
  <si>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</si>
  <si>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</si>
  <si>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</si>
  <si>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</si>
  <si>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</si>
  <si>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3WT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</si>
  <si>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</si>
  <si>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</si>
  <si>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</si>
  <si>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</si>
  <si>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</si>
  <si>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</si>
  <si>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</si>
  <si>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</si>
  <si>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</si>
  <si>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</si>
  <si>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</si>
  <si>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</si>
  <si>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</si>
  <si>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</si>
  <si>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</si>
  <si>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</si>
  <si>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</si>
  <si>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</si>
  <si>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</si>
  <si>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</si>
  <si>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</si>
  <si>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</si>
  <si>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</si>
  <si>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</si>
  <si>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</si>
  <si>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</si>
  <si>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</si>
  <si>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</si>
  <si>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</si>
  <si>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</si>
  <si>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</si>
  <si>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</si>
  <si>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</si>
  <si>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</si>
  <si>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</si>
  <si>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MOX123</t>
  </si>
  <si>
    <t>PPZ</t>
  </si>
  <si>
    <t>0MJ29S1PL</t>
  </si>
  <si>
    <t>DNV307</t>
  </si>
  <si>
    <t>0ZE3JS1PL</t>
  </si>
  <si>
    <t>0SV3XW1PL</t>
  </si>
  <si>
    <t>PP4004</t>
  </si>
  <si>
    <t>0DX2LW1PL</t>
  </si>
  <si>
    <t>0GT0JW1PL</t>
  </si>
  <si>
    <t>ME3005</t>
  </si>
  <si>
    <t>0LS39E1PL</t>
  </si>
  <si>
    <t>LED041</t>
  </si>
  <si>
    <t>0VC3HE1PL</t>
  </si>
  <si>
    <t>0SVT2S1PL</t>
  </si>
  <si>
    <t>0NW37E1PL</t>
  </si>
  <si>
    <t xml:space="preserve">NP2 SERVICE </t>
  </si>
  <si>
    <t>AR4053</t>
  </si>
  <si>
    <t>AR5060</t>
  </si>
  <si>
    <t>02M3LW1PL</t>
  </si>
  <si>
    <t>L23005</t>
  </si>
  <si>
    <t>0FA3NW1PL</t>
  </si>
  <si>
    <t>TVR026</t>
  </si>
  <si>
    <t>0SC0JW1PL</t>
  </si>
  <si>
    <t>KPU002</t>
  </si>
  <si>
    <t>0RD3JW1PL</t>
  </si>
  <si>
    <t>09X3LW1PL</t>
  </si>
  <si>
    <t>CJP329</t>
  </si>
  <si>
    <t>0VK2LW1PL</t>
  </si>
  <si>
    <t>PVY062</t>
  </si>
  <si>
    <t>FMD306</t>
  </si>
  <si>
    <t>0VV2RN1PL</t>
  </si>
  <si>
    <t>0VV2TN1PL</t>
  </si>
  <si>
    <t>0VV2VN1PL</t>
  </si>
  <si>
    <t>0VV2XN1PL</t>
  </si>
  <si>
    <t>0VV2ZN1PL</t>
  </si>
  <si>
    <t>GOS069</t>
  </si>
  <si>
    <t>0QA35S1PL</t>
  </si>
  <si>
    <t>0XS4XS1PL</t>
  </si>
  <si>
    <t>NRP104</t>
  </si>
  <si>
    <t>BW0013</t>
  </si>
  <si>
    <t>OPZ374</t>
  </si>
  <si>
    <t>0XS4NW1PL</t>
  </si>
  <si>
    <t>CC3</t>
  </si>
  <si>
    <t>KOTA PURI</t>
  </si>
  <si>
    <t>0YT09E1PL</t>
  </si>
  <si>
    <t>PR7</t>
  </si>
  <si>
    <t>PR7004</t>
  </si>
  <si>
    <t>Terminal:   MSICT</t>
  </si>
  <si>
    <t>Agent: SINOAGENT</t>
  </si>
  <si>
    <t>2300 Sat</t>
  </si>
  <si>
    <t>RJ2</t>
  </si>
  <si>
    <t>SR9517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</si>
  <si>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</si>
  <si>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</si>
  <si>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</si>
  <si>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</si>
  <si>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</si>
  <si>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</si>
  <si>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</si>
  <si>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</si>
  <si>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</si>
  <si>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</si>
  <si>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</si>
  <si>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</si>
  <si>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UMM507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</si>
  <si>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</si>
  <si>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</si>
  <si>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</si>
  <si>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</si>
  <si>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</si>
  <si>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</si>
  <si>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</si>
  <si>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</si>
  <si>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</si>
  <si>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</si>
  <si>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r>
      <t>2019</t>
    </r>
    <r>
      <rPr>
        <b/>
        <sz val="24"/>
        <color rgb="FF002060"/>
        <rFont val="宋体"/>
        <charset val="134"/>
      </rPr>
      <t>年06月船期表</t>
    </r>
  </si>
  <si>
    <t>YSL092</t>
  </si>
  <si>
    <t>MAQ068</t>
  </si>
  <si>
    <t>EFL024</t>
  </si>
  <si>
    <t>W2K086</t>
  </si>
  <si>
    <t>0DF3RS1PL</t>
  </si>
  <si>
    <t>0DF3TS1PL</t>
  </si>
  <si>
    <t>0DF3VS1PL</t>
  </si>
  <si>
    <t>0DF3XS1PL</t>
  </si>
  <si>
    <t>0DF3ZS1PL</t>
  </si>
  <si>
    <t>EMN009</t>
  </si>
  <si>
    <t>PMN009</t>
  </si>
  <si>
    <t>LTX142</t>
  </si>
  <si>
    <t>PPZ009</t>
  </si>
  <si>
    <t>0MJ2BS1PL</t>
  </si>
  <si>
    <t>0MJ2DS1PL</t>
  </si>
  <si>
    <t>0MJ2FS1PL</t>
  </si>
  <si>
    <t>0MJ2HS1PL</t>
  </si>
  <si>
    <t>RRZ269</t>
  </si>
  <si>
    <t>OBU256</t>
  </si>
  <si>
    <t>9SC267</t>
  </si>
  <si>
    <t>LM4160</t>
  </si>
  <si>
    <t>0ZE3LS1PL</t>
  </si>
  <si>
    <t>0ZE3NS1PL</t>
  </si>
  <si>
    <t>0ZE3PS1PL</t>
  </si>
  <si>
    <t>0ZE3RS1PL</t>
  </si>
  <si>
    <t>0SV41W1PL</t>
  </si>
  <si>
    <t>0SV45W1PL</t>
  </si>
  <si>
    <t>0SV49W1PL</t>
  </si>
  <si>
    <t>0SV4DW1PL</t>
  </si>
  <si>
    <t>HIM015</t>
  </si>
  <si>
    <t>AO9029</t>
  </si>
  <si>
    <t>4SR002</t>
  </si>
  <si>
    <t>DN2031</t>
  </si>
  <si>
    <t>0GT0LW1PL</t>
  </si>
  <si>
    <t>0GT0NW1PL</t>
  </si>
  <si>
    <t>0GT0PW1PL</t>
  </si>
  <si>
    <t>0GT0RW1PL</t>
  </si>
  <si>
    <t>HRI029</t>
  </si>
  <si>
    <t>HYI029</t>
  </si>
  <si>
    <t>RMS007</t>
  </si>
  <si>
    <t>HVT031</t>
  </si>
  <si>
    <t>0DX2NW1PL</t>
  </si>
  <si>
    <t>0DX2PW1PL</t>
  </si>
  <si>
    <t>0DX2RW1PL</t>
  </si>
  <si>
    <t>0DX2TW1PL</t>
  </si>
  <si>
    <t>EUT136</t>
  </si>
  <si>
    <t>UTF139</t>
  </si>
  <si>
    <t>W1M153</t>
  </si>
  <si>
    <t>URB149</t>
  </si>
  <si>
    <t>0GN1XW1PL</t>
  </si>
  <si>
    <t>0GN25W1PL</t>
  </si>
  <si>
    <t>0GN2BW1PL</t>
  </si>
  <si>
    <t>0GN2JW1PL</t>
  </si>
  <si>
    <t>0GN2ZW1PL</t>
  </si>
  <si>
    <t>0RE3FW1PL</t>
  </si>
  <si>
    <t>0RE3JW1PL</t>
  </si>
  <si>
    <t>0RE3LW1PL</t>
  </si>
  <si>
    <t>AX1026</t>
  </si>
  <si>
    <t>KJR009</t>
  </si>
  <si>
    <t>TPI030</t>
  </si>
  <si>
    <t>CLS412</t>
  </si>
  <si>
    <t>CKG067</t>
  </si>
  <si>
    <t>0RD3LW1PL</t>
  </si>
  <si>
    <t>0RD3NW1PL</t>
  </si>
  <si>
    <t>0RD3PW1PL</t>
  </si>
  <si>
    <t>0RD3RW1PL</t>
  </si>
  <si>
    <t>SHV918</t>
  </si>
  <si>
    <t>Q2L822</t>
  </si>
  <si>
    <t>SKL818</t>
  </si>
  <si>
    <t>09X3PW1PL</t>
  </si>
  <si>
    <t>09X3RW1PL</t>
  </si>
  <si>
    <t>09X3TW1PL</t>
  </si>
  <si>
    <t>BFY356</t>
  </si>
  <si>
    <t>MD4025</t>
  </si>
  <si>
    <t>RGL358</t>
  </si>
  <si>
    <t>0VK2NW1PL</t>
  </si>
  <si>
    <t>0VK2PW1PL</t>
  </si>
  <si>
    <t>0VK2RW1PL</t>
  </si>
  <si>
    <t>0VK2TW1PL</t>
  </si>
  <si>
    <t>XB2112</t>
  </si>
  <si>
    <t>4EE129</t>
  </si>
  <si>
    <t>IOS086</t>
  </si>
  <si>
    <t>THD065</t>
  </si>
  <si>
    <t>0VN1NW1PL</t>
  </si>
  <si>
    <t>0VN1PW1PL</t>
  </si>
  <si>
    <t>0VN1RW1PL</t>
  </si>
  <si>
    <t>0VN1TW1PL</t>
  </si>
  <si>
    <t>0VN1VW1PL</t>
  </si>
  <si>
    <t>FX2063</t>
  </si>
  <si>
    <t>AEL038</t>
  </si>
  <si>
    <t>6AZ037</t>
  </si>
  <si>
    <t>KCB045</t>
  </si>
  <si>
    <t>0VP1NW1PL</t>
  </si>
  <si>
    <t>0VP1PW1PL</t>
  </si>
  <si>
    <t>0VP1RW1PL</t>
  </si>
  <si>
    <t>0VP1TW1PL</t>
  </si>
  <si>
    <t>0VP1VW1PL</t>
  </si>
  <si>
    <t>TIM869</t>
  </si>
  <si>
    <t>FMD312</t>
  </si>
  <si>
    <t>PVY068</t>
  </si>
  <si>
    <t>FSK010</t>
  </si>
  <si>
    <t>CDX274</t>
  </si>
  <si>
    <t>FSK011</t>
  </si>
  <si>
    <t>CDX275</t>
  </si>
  <si>
    <t>FSK012</t>
  </si>
  <si>
    <t>0RF2PN1PL</t>
  </si>
  <si>
    <t>0RF2RN1PL</t>
  </si>
  <si>
    <t>0RF2TN1PL</t>
  </si>
  <si>
    <t>0RF2VN1PL</t>
  </si>
  <si>
    <t>0RF2XN1PL</t>
  </si>
  <si>
    <t>NOO036</t>
  </si>
  <si>
    <t>DBD064</t>
  </si>
  <si>
    <t>GOS077</t>
  </si>
  <si>
    <t>0QA37S1PL</t>
  </si>
  <si>
    <t>0QA39S1PL</t>
  </si>
  <si>
    <t>0QA3BS1PL</t>
  </si>
  <si>
    <t>0QA3DS1PL</t>
  </si>
  <si>
    <t>MN6111</t>
  </si>
  <si>
    <t>8NP116</t>
  </si>
  <si>
    <t>NRP110</t>
  </si>
  <si>
    <t>BW0019</t>
  </si>
  <si>
    <t>0XS51S1PL</t>
  </si>
  <si>
    <t>0XS55S1PL</t>
  </si>
  <si>
    <t>0XS59S1PL</t>
  </si>
  <si>
    <t>0XS5DS1PL</t>
  </si>
  <si>
    <t>HB9008</t>
  </si>
  <si>
    <t>0XS4RW1PL</t>
  </si>
  <si>
    <t>0XS4VW1PL</t>
  </si>
  <si>
    <t>0XS4ZW1PL</t>
  </si>
  <si>
    <t>0XS53W1PL</t>
  </si>
  <si>
    <t>GHO270</t>
  </si>
  <si>
    <t>GCU006</t>
  </si>
  <si>
    <t>GM2006</t>
  </si>
  <si>
    <t>ESQ215</t>
  </si>
  <si>
    <t>0JX2PE1PL</t>
  </si>
  <si>
    <t>0JX2TE1PL</t>
  </si>
  <si>
    <t>0JX2VE1PL</t>
  </si>
  <si>
    <t>0JX2XE1PL</t>
  </si>
  <si>
    <t>LDGTBA</t>
  </si>
  <si>
    <t>NJ6016</t>
  </si>
  <si>
    <t>EEU169</t>
  </si>
  <si>
    <t>5CH033</t>
  </si>
  <si>
    <t>0LS3BE1PL</t>
  </si>
  <si>
    <t>0LS3DE1PL</t>
  </si>
  <si>
    <t>0LS3FE1PL</t>
  </si>
  <si>
    <t>0LS3HE1PL</t>
  </si>
  <si>
    <t>BNG140</t>
  </si>
  <si>
    <t>TRRP79</t>
  </si>
  <si>
    <t>SL5049</t>
  </si>
  <si>
    <t>POX425</t>
  </si>
  <si>
    <t>0PP3XE1PL</t>
  </si>
  <si>
    <t>0PP3ZE1PL</t>
  </si>
  <si>
    <t>0PP41E1PL</t>
  </si>
  <si>
    <t>0PP43E1PL</t>
  </si>
  <si>
    <t>0PP45E1PL</t>
  </si>
  <si>
    <t>BTG359</t>
  </si>
  <si>
    <t>ER3123</t>
  </si>
  <si>
    <t>LCL363</t>
  </si>
  <si>
    <t>NUE002</t>
  </si>
  <si>
    <t>0PG3ZE1PL</t>
  </si>
  <si>
    <t>0PG41E1PL</t>
  </si>
  <si>
    <t>0PG43E1PL</t>
  </si>
  <si>
    <t>0PG45E1PL</t>
  </si>
  <si>
    <t>0PG47E1PL</t>
  </si>
  <si>
    <t>LVE037</t>
  </si>
  <si>
    <t>ELN039</t>
  </si>
  <si>
    <t>0VC3JE1PL</t>
  </si>
  <si>
    <t>0VC3LE1PL</t>
  </si>
  <si>
    <t>0VC3NE1PL</t>
  </si>
  <si>
    <t>0VC3PE1PL</t>
  </si>
  <si>
    <t>CAV213</t>
  </si>
  <si>
    <t>PD3048</t>
  </si>
  <si>
    <t>FAH040</t>
  </si>
  <si>
    <t>JME005</t>
  </si>
  <si>
    <t>FTE047</t>
  </si>
  <si>
    <t>0MB35E1PL</t>
  </si>
  <si>
    <t>0MB37E1PL</t>
  </si>
  <si>
    <t>0MB39E1PL</t>
  </si>
  <si>
    <t>0MB3BE1PL</t>
  </si>
  <si>
    <t>0MB3DE1PL</t>
  </si>
  <si>
    <t>0MQ2IE1PL</t>
  </si>
  <si>
    <t>0MQ2KE1PL</t>
  </si>
  <si>
    <t>0MQ2ME1PL</t>
  </si>
  <si>
    <t>0MQ2OE1PL</t>
  </si>
  <si>
    <t>0MQ2QE1PL</t>
  </si>
  <si>
    <t>THI225</t>
  </si>
  <si>
    <t>KOR225</t>
  </si>
  <si>
    <t>SPO228</t>
  </si>
  <si>
    <t>CHI229</t>
  </si>
  <si>
    <t>EI4010</t>
  </si>
  <si>
    <t>WI4008</t>
  </si>
  <si>
    <t>CV4010</t>
  </si>
  <si>
    <t>KN4011</t>
  </si>
  <si>
    <t>PT4009</t>
  </si>
  <si>
    <t>TCG061</t>
  </si>
  <si>
    <t>OSI063</t>
  </si>
  <si>
    <t>KP1010</t>
  </si>
  <si>
    <t>OAA059</t>
  </si>
  <si>
    <t>0YT0BE1PL</t>
  </si>
  <si>
    <t>0YT0DE1PL</t>
  </si>
  <si>
    <t>0YT0FE1PL</t>
  </si>
  <si>
    <t>0YT0HE1PL</t>
  </si>
  <si>
    <t>SL4231</t>
  </si>
  <si>
    <t>QNO190</t>
  </si>
  <si>
    <t>ADL332</t>
  </si>
  <si>
    <t>BCO138</t>
  </si>
  <si>
    <t>0SV3BS1PL</t>
  </si>
  <si>
    <t>0SV3FS1PL</t>
  </si>
  <si>
    <t>0SV3JS1PL</t>
  </si>
  <si>
    <t>0SV3NS1PL</t>
  </si>
  <si>
    <t>EDY078</t>
  </si>
  <si>
    <t>SOG085</t>
  </si>
  <si>
    <t>EE6133</t>
  </si>
  <si>
    <t>ESN103</t>
  </si>
  <si>
    <t>0NW39E1PL</t>
  </si>
  <si>
    <t>0NW3BE1PL</t>
  </si>
  <si>
    <t>0NW3DE1PL</t>
  </si>
  <si>
    <t>0NW3FE1PL</t>
  </si>
  <si>
    <t>XBJ109</t>
  </si>
  <si>
    <t>CCU024</t>
  </si>
  <si>
    <t>OEN068</t>
  </si>
  <si>
    <t>CYI088</t>
  </si>
  <si>
    <t>0TD09E1PL</t>
  </si>
  <si>
    <t>0TD0BE1PL</t>
  </si>
  <si>
    <t>0TD0DE1PL</t>
  </si>
  <si>
    <t>0TD0FE1PL</t>
  </si>
  <si>
    <t>0TD0HE1PL</t>
  </si>
  <si>
    <t>TTN413</t>
  </si>
  <si>
    <t>OOF020</t>
  </si>
  <si>
    <t>CGL417</t>
  </si>
  <si>
    <t>GWY419</t>
  </si>
  <si>
    <t>SIO421</t>
  </si>
  <si>
    <t>0ME3NW1PL</t>
  </si>
  <si>
    <t>0ME3PW1PL</t>
  </si>
  <si>
    <t>0ME3RW1PL</t>
  </si>
  <si>
    <t>0ME3TW1PL</t>
  </si>
  <si>
    <t>0ME3VW1PL</t>
  </si>
  <si>
    <t>PCC225</t>
  </si>
  <si>
    <t>URN101</t>
  </si>
  <si>
    <t>PAS108</t>
  </si>
  <si>
    <t>NHL072</t>
  </si>
  <si>
    <t>02M3NW1PL</t>
  </si>
  <si>
    <t>02M3PW1PL</t>
  </si>
  <si>
    <t>02M3RW1PL</t>
  </si>
  <si>
    <t>02M3TW1PL</t>
  </si>
  <si>
    <t>SE4011</t>
  </si>
  <si>
    <t>URL431</t>
  </si>
  <si>
    <t>COX414</t>
  </si>
  <si>
    <t>AG0002</t>
  </si>
  <si>
    <t>VOL437</t>
  </si>
  <si>
    <t>0BX3TW1PL</t>
  </si>
  <si>
    <t>0BX3VW1PL</t>
  </si>
  <si>
    <t>0BX3XW1PL</t>
  </si>
  <si>
    <t>0BX3ZW1PL</t>
  </si>
  <si>
    <t>0BX41W1PL</t>
  </si>
  <si>
    <t>DPO002</t>
  </si>
  <si>
    <t>MMU673</t>
  </si>
  <si>
    <t>XY7138</t>
  </si>
  <si>
    <t>EVS383</t>
  </si>
  <si>
    <t>0BE3RW1PL</t>
  </si>
  <si>
    <t>0BE3TW1PL</t>
  </si>
  <si>
    <t>0BE3VW1PL</t>
  </si>
  <si>
    <t>0BE3XW1PL</t>
  </si>
  <si>
    <t>0BE3ZW1PL</t>
  </si>
  <si>
    <t>ATK413</t>
  </si>
  <si>
    <t>KGL415</t>
  </si>
  <si>
    <t>JLV417</t>
  </si>
  <si>
    <t>ZHE419</t>
  </si>
  <si>
    <t>XUP421</t>
  </si>
  <si>
    <t>0FL3RW1PL</t>
  </si>
  <si>
    <t>0FL3TW1PL</t>
  </si>
  <si>
    <t>0FL3VW1PL</t>
  </si>
  <si>
    <t>0FL3XW1PL</t>
  </si>
  <si>
    <t>0FL3ZW1PL</t>
  </si>
  <si>
    <t>ITT004</t>
  </si>
  <si>
    <t>PPN004</t>
  </si>
  <si>
    <t>2CV006</t>
  </si>
  <si>
    <t>RPI005</t>
  </si>
  <si>
    <t>0FA3PW1PL</t>
  </si>
  <si>
    <t>0FA3RW1PL</t>
  </si>
  <si>
    <t>0FA3TW1PL</t>
  </si>
  <si>
    <t>0FA3VW1PL</t>
  </si>
  <si>
    <t>MP5067</t>
  </si>
  <si>
    <t>LR2241</t>
  </si>
  <si>
    <t>VND243</t>
  </si>
  <si>
    <t>MEX182</t>
  </si>
  <si>
    <t>GPU182</t>
  </si>
  <si>
    <t>0KN2NW1PL</t>
  </si>
  <si>
    <t>0KN2PW1PL</t>
  </si>
  <si>
    <t>0KN2RW1PL</t>
  </si>
  <si>
    <t>0KN2TW1PL</t>
  </si>
  <si>
    <t>0KN2VW1PL</t>
  </si>
  <si>
    <t>OGY009</t>
  </si>
  <si>
    <t>3SD008</t>
  </si>
  <si>
    <t>JA3009</t>
  </si>
  <si>
    <t>0VA43W1PL</t>
  </si>
  <si>
    <t>0VA45W1PL</t>
  </si>
  <si>
    <t>0VA47W1PL</t>
  </si>
  <si>
    <t>0VA49W1PL</t>
  </si>
  <si>
    <t>0VA4BW1PL</t>
  </si>
  <si>
    <t>COSCO SHIPPING STAR</t>
  </si>
  <si>
    <t>EG3004</t>
  </si>
  <si>
    <t>EG8002</t>
  </si>
  <si>
    <t>EGI008</t>
  </si>
  <si>
    <t>VR3003</t>
  </si>
  <si>
    <t>TIT016</t>
  </si>
  <si>
    <t>0LA3JW1PL</t>
  </si>
  <si>
    <t>0LA3LW1PL</t>
  </si>
  <si>
    <t>0LA3NW1PL</t>
  </si>
  <si>
    <t>0LA3PW1PL</t>
  </si>
  <si>
    <t>0LA3RW1PL</t>
  </si>
  <si>
    <t>EG8</t>
  </si>
  <si>
    <t>TU2014</t>
  </si>
  <si>
    <t>TNK026</t>
  </si>
  <si>
    <t>TLN027</t>
  </si>
  <si>
    <t>TOT011</t>
  </si>
  <si>
    <t>0SC0LW1PL</t>
  </si>
  <si>
    <t>0SC0NW1PL</t>
  </si>
  <si>
    <t>0SC0PW1PL</t>
  </si>
  <si>
    <t>0SC0RW1PL</t>
  </si>
  <si>
    <t>NIK002</t>
  </si>
  <si>
    <t>CGH309</t>
  </si>
  <si>
    <t>LSM001</t>
  </si>
  <si>
    <t>LSM</t>
  </si>
  <si>
    <t>WB2</t>
  </si>
  <si>
    <t>GREENWICH BRIDGE</t>
  </si>
  <si>
    <t>WB2001</t>
  </si>
  <si>
    <t>DPO</t>
  </si>
  <si>
    <t>0JXS7E1PL</t>
  </si>
  <si>
    <t>EVER LOADING</t>
  </si>
  <si>
    <t>EVB031</t>
  </si>
  <si>
    <t>ST0TBA</t>
  </si>
  <si>
    <t>ST0</t>
  </si>
  <si>
    <t>TVT</t>
  </si>
  <si>
    <t>CMA CGM LA TRAVIATA</t>
  </si>
  <si>
    <t>TVT254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</si>
</sst>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1">
    <font>
      <sz val="10"/>
      <name val="Arial"/>
      <charset val="134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4" fillId="0" borderId="0"/>
    <xf numFmtId="0" fontId="63" fillId="0" borderId="0"/>
    <xf numFmtId="0" fontId="14" fillId="0" borderId="0">
      <alignment vertical="center"/>
    </xf>
    <xf numFmtId="0" fontId="38" fillId="0" borderId="0"/>
    <xf numFmtId="0" fontId="3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>
      <alignment vertical="center"/>
    </xf>
    <xf numFmtId="0" fontId="83" fillId="0" borderId="0"/>
    <xf numFmtId="0" fontId="63" fillId="0" borderId="0"/>
    <xf numFmtId="0" fontId="89" fillId="0" borderId="0">
      <alignment vertical="center"/>
    </xf>
  </cellStyleXfs>
  <cellXfs count="16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7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4" xfId="0" applyFont="1" applyBorder="1"/>
    <xf numFmtId="0" fontId="11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1" fillId="0" borderId="16" xfId="0" applyFont="1" applyBorder="1"/>
    <xf numFmtId="0" fontId="11" fillId="0" borderId="6" xfId="0" applyFont="1" applyFill="1" applyBorder="1"/>
    <xf numFmtId="0" fontId="0" fillId="0" borderId="17" xfId="0" applyBorder="1"/>
    <xf numFmtId="0" fontId="11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4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7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" fontId="17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7" fillId="0" borderId="1" xfId="0" applyNumberFormat="1" applyFont="1" applyFill="1" applyBorder="1" applyAlignment="1">
      <alignment horizontal="center" vertical="center"/>
    </xf>
    <xf numFmtId="16" fontId="1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22" fillId="0" borderId="3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/>
    </xf>
    <xf numFmtId="49" fontId="28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2" borderId="28" xfId="8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4" fillId="0" borderId="33" xfId="5" applyFont="1" applyFill="1" applyBorder="1" applyAlignment="1">
      <alignment horizontal="center" vertical="center"/>
    </xf>
    <xf numFmtId="0" fontId="34" fillId="0" borderId="0" xfId="0" applyFont="1" applyFill="1" applyBorder="1"/>
    <xf numFmtId="0" fontId="34" fillId="0" borderId="36" xfId="5" applyFont="1" applyFill="1" applyBorder="1" applyAlignment="1">
      <alignment horizontal="center" vertical="center"/>
    </xf>
    <xf numFmtId="0" fontId="41" fillId="0" borderId="6" xfId="5" applyFont="1" applyFill="1" applyBorder="1" applyAlignment="1">
      <alignment horizontal="center" vertical="center"/>
    </xf>
    <xf numFmtId="0" fontId="41" fillId="0" borderId="7" xfId="5" applyFont="1" applyFill="1" applyBorder="1" applyAlignment="1">
      <alignment horizontal="center" vertical="center"/>
    </xf>
    <xf numFmtId="0" fontId="34" fillId="5" borderId="6" xfId="5" applyFont="1" applyFill="1" applyBorder="1" applyAlignment="1">
      <alignment horizontal="center" vertical="center"/>
    </xf>
    <xf numFmtId="0" fontId="42" fillId="2" borderId="6" xfId="5" applyFont="1" applyFill="1" applyBorder="1" applyAlignment="1">
      <alignment horizontal="center" vertical="center"/>
    </xf>
    <xf numFmtId="0" fontId="34" fillId="5" borderId="7" xfId="5" applyFont="1" applyFill="1" applyBorder="1" applyAlignment="1">
      <alignment horizontal="center" vertical="center"/>
    </xf>
    <xf numFmtId="0" fontId="43" fillId="5" borderId="6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34" fillId="0" borderId="37" xfId="5" applyFont="1" applyFill="1" applyBorder="1" applyAlignment="1">
      <alignment horizontal="center" vertical="center"/>
    </xf>
    <xf numFmtId="0" fontId="43" fillId="5" borderId="9" xfId="5" applyFont="1" applyFill="1" applyBorder="1" applyAlignment="1">
      <alignment horizontal="center" vertical="center"/>
    </xf>
    <xf numFmtId="0" fontId="34" fillId="5" borderId="10" xfId="5" applyFont="1" applyFill="1" applyBorder="1" applyAlignment="1">
      <alignment horizontal="center" vertical="center"/>
    </xf>
    <xf numFmtId="0" fontId="34" fillId="5" borderId="9" xfId="5" applyFont="1" applyFill="1" applyBorder="1" applyAlignment="1">
      <alignment horizontal="center" vertical="center"/>
    </xf>
    <xf numFmtId="0" fontId="34" fillId="0" borderId="41" xfId="5" applyFont="1" applyFill="1" applyBorder="1" applyAlignment="1">
      <alignment horizontal="center" vertical="center"/>
    </xf>
    <xf numFmtId="0" fontId="34" fillId="0" borderId="44" xfId="5" applyFont="1" applyFill="1" applyBorder="1" applyAlignment="1">
      <alignment horizontal="center" vertical="center"/>
    </xf>
    <xf numFmtId="0" fontId="41" fillId="4" borderId="20" xfId="5" applyFont="1" applyFill="1" applyBorder="1" applyAlignment="1">
      <alignment horizontal="center" vertical="center"/>
    </xf>
    <xf numFmtId="0" fontId="41" fillId="0" borderId="28" xfId="5" applyFont="1" applyFill="1" applyBorder="1" applyAlignment="1">
      <alignment horizontal="center" vertical="center"/>
    </xf>
    <xf numFmtId="0" fontId="42" fillId="5" borderId="5" xfId="5" applyFont="1" applyFill="1" applyBorder="1" applyAlignment="1">
      <alignment horizontal="center" vertical="center"/>
    </xf>
    <xf numFmtId="0" fontId="34" fillId="5" borderId="5" xfId="5" applyFont="1" applyFill="1" applyBorder="1" applyAlignment="1">
      <alignment horizontal="center" vertical="center"/>
    </xf>
    <xf numFmtId="0" fontId="34" fillId="0" borderId="45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34" fillId="5" borderId="28" xfId="5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6" fontId="46" fillId="0" borderId="0" xfId="0" applyNumberFormat="1" applyFont="1" applyBorder="1" applyAlignment="1">
      <alignment horizontal="center" vertical="center"/>
    </xf>
    <xf numFmtId="0" fontId="49" fillId="7" borderId="3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51" xfId="0" applyFont="1" applyFill="1" applyBorder="1" applyAlignment="1">
      <alignment horizontal="left" vertical="center"/>
    </xf>
    <xf numFmtId="0" fontId="47" fillId="4" borderId="0" xfId="0" applyFont="1" applyFill="1" applyBorder="1" applyAlignment="1">
      <alignment horizontal="center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46" fillId="4" borderId="12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16" fontId="47" fillId="0" borderId="0" xfId="0" applyNumberFormat="1" applyFont="1" applyFill="1" applyBorder="1" applyAlignment="1">
      <alignment horizontal="center" vertical="center"/>
    </xf>
    <xf numFmtId="0" fontId="52" fillId="7" borderId="42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4" borderId="58" xfId="0" applyFont="1" applyFill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6" fillId="4" borderId="60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0" fontId="46" fillId="4" borderId="62" xfId="0" applyFont="1" applyFill="1" applyBorder="1" applyAlignment="1">
      <alignment horizontal="center" vertical="center"/>
    </xf>
    <xf numFmtId="0" fontId="52" fillId="7" borderId="5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169" fontId="46" fillId="8" borderId="55" xfId="1" applyNumberFormat="1" applyFont="1" applyFill="1" applyBorder="1" applyAlignment="1">
      <alignment horizontal="center" vertical="center"/>
    </xf>
    <xf numFmtId="169" fontId="46" fillId="8" borderId="4" xfId="1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61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2" fillId="7" borderId="39" xfId="0" applyFont="1" applyFill="1" applyBorder="1" applyAlignment="1">
      <alignment horizontal="center" vertical="center"/>
    </xf>
    <xf numFmtId="0" fontId="46" fillId="0" borderId="43" xfId="0" applyFont="1" applyBorder="1" applyAlignment="1">
      <alignment vertical="center"/>
    </xf>
    <xf numFmtId="0" fontId="46" fillId="0" borderId="48" xfId="0" applyFont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45" fillId="0" borderId="0" xfId="4" applyNumberFormat="1" applyFont="1" applyBorder="1" applyAlignment="1">
      <alignment horizontal="left" vertical="center"/>
    </xf>
    <xf numFmtId="1" fontId="45" fillId="0" borderId="0" xfId="4" applyNumberFormat="1" applyFont="1" applyAlignment="1">
      <alignment horizontal="left" vertical="center"/>
    </xf>
    <xf numFmtId="0" fontId="45" fillId="0" borderId="0" xfId="4" applyFont="1" applyBorder="1" applyAlignment="1">
      <alignment vertical="center"/>
    </xf>
    <xf numFmtId="0" fontId="55" fillId="0" borderId="6" xfId="0" applyFont="1" applyBorder="1"/>
    <xf numFmtId="16" fontId="47" fillId="4" borderId="68" xfId="0" applyNumberFormat="1" applyFont="1" applyFill="1" applyBorder="1" applyAlignment="1">
      <alignment horizontal="center" vertical="center"/>
    </xf>
    <xf numFmtId="16" fontId="47" fillId="4" borderId="69" xfId="0" applyNumberFormat="1" applyFont="1" applyFill="1" applyBorder="1" applyAlignment="1">
      <alignment horizontal="center" vertical="center"/>
    </xf>
    <xf numFmtId="0" fontId="45" fillId="0" borderId="67" xfId="0" applyFont="1" applyBorder="1" applyAlignment="1">
      <alignment vertical="center"/>
    </xf>
    <xf numFmtId="0" fontId="46" fillId="0" borderId="21" xfId="0" applyFont="1" applyBorder="1" applyAlignment="1">
      <alignment horizontal="center" vertical="center"/>
    </xf>
    <xf numFmtId="169" fontId="46" fillId="8" borderId="51" xfId="1" applyNumberFormat="1" applyFont="1" applyFill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56" fillId="4" borderId="6" xfId="0" applyFont="1" applyFill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7" fillId="4" borderId="37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 wrapText="1"/>
    </xf>
    <xf numFmtId="0" fontId="57" fillId="4" borderId="9" xfId="0" applyFont="1" applyFill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0" fontId="47" fillId="4" borderId="23" xfId="6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53" xfId="0" applyFont="1" applyFill="1" applyBorder="1" applyAlignment="1">
      <alignment horizontal="center" vertical="center"/>
    </xf>
    <xf numFmtId="0" fontId="47" fillId="4" borderId="7" xfId="6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54" xfId="0" applyFont="1" applyFill="1" applyBorder="1" applyAlignment="1">
      <alignment horizontal="center" vertical="center"/>
    </xf>
    <xf numFmtId="0" fontId="47" fillId="4" borderId="10" xfId="6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52" fillId="0" borderId="33" xfId="0" applyFont="1" applyBorder="1" applyAlignment="1">
      <alignment vertical="center"/>
    </xf>
    <xf numFmtId="0" fontId="47" fillId="4" borderId="38" xfId="0" applyFont="1" applyFill="1" applyBorder="1" applyAlignment="1">
      <alignment horizontal="center" vertical="center"/>
    </xf>
    <xf numFmtId="0" fontId="47" fillId="4" borderId="36" xfId="0" applyFont="1" applyFill="1" applyBorder="1" applyAlignment="1">
      <alignment horizontal="center" vertical="center"/>
    </xf>
    <xf numFmtId="0" fontId="45" fillId="0" borderId="35" xfId="0" applyFont="1" applyBorder="1" applyAlignment="1">
      <alignment vertical="center"/>
    </xf>
    <xf numFmtId="0" fontId="52" fillId="0" borderId="34" xfId="0" applyFont="1" applyBorder="1" applyAlignment="1">
      <alignment vertical="center"/>
    </xf>
    <xf numFmtId="0" fontId="52" fillId="0" borderId="13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47" fillId="4" borderId="20" xfId="0" applyFont="1" applyFill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6" fillId="0" borderId="0" xfId="0" applyFont="1" applyAlignment="1"/>
    <xf numFmtId="0" fontId="53" fillId="0" borderId="0" xfId="0" applyFont="1" applyAlignment="1">
      <alignment vertical="center"/>
    </xf>
    <xf numFmtId="0" fontId="47" fillId="0" borderId="28" xfId="7" applyFont="1" applyBorder="1" applyAlignment="1">
      <alignment horizontal="center" vertical="center"/>
    </xf>
    <xf numFmtId="0" fontId="47" fillId="0" borderId="9" xfId="7" applyFont="1" applyBorder="1" applyAlignment="1">
      <alignment horizontal="center" vertical="center"/>
    </xf>
    <xf numFmtId="0" fontId="47" fillId="0" borderId="0" xfId="7" applyFont="1" applyFill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16" fontId="47" fillId="4" borderId="0" xfId="0" applyNumberFormat="1" applyFont="1" applyFill="1" applyAlignment="1">
      <alignment horizontal="center" vertical="center"/>
    </xf>
    <xf numFmtId="16" fontId="51" fillId="4" borderId="0" xfId="0" applyNumberFormat="1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6" fillId="0" borderId="0" xfId="7" applyFont="1" applyFill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vertical="center"/>
    </xf>
    <xf numFmtId="0" fontId="46" fillId="4" borderId="6" xfId="7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4" borderId="51" xfId="0" applyFont="1" applyFill="1" applyBorder="1" applyAlignment="1">
      <alignment horizontal="left" vertical="center"/>
    </xf>
    <xf numFmtId="0" fontId="47" fillId="0" borderId="0" xfId="7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vertical="center"/>
    </xf>
    <xf numFmtId="0" fontId="53" fillId="4" borderId="6" xfId="7" applyFont="1" applyFill="1" applyBorder="1" applyAlignment="1">
      <alignment horizontal="center" vertical="center"/>
    </xf>
    <xf numFmtId="0" fontId="47" fillId="4" borderId="9" xfId="7" applyFont="1" applyFill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7" fillId="0" borderId="6" xfId="7" applyFont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71" xfId="7" applyFont="1" applyBorder="1" applyAlignment="1">
      <alignment horizontal="center" vertical="center"/>
    </xf>
    <xf numFmtId="0" fontId="46" fillId="0" borderId="0" xfId="7" applyFont="1" applyBorder="1" applyAlignment="1">
      <alignment horizontal="center" vertical="center"/>
    </xf>
    <xf numFmtId="0" fontId="46" fillId="0" borderId="0" xfId="7" applyFont="1" applyFill="1" applyBorder="1" applyAlignment="1">
      <alignment horizontal="center" vertical="center"/>
    </xf>
    <xf numFmtId="0" fontId="46" fillId="4" borderId="39" xfId="7" applyFont="1" applyFill="1" applyBorder="1" applyAlignment="1">
      <alignment horizontal="center" vertical="center"/>
    </xf>
    <xf numFmtId="0" fontId="46" fillId="4" borderId="59" xfId="7" applyFont="1" applyFill="1" applyBorder="1" applyAlignment="1">
      <alignment horizontal="center" vertical="center"/>
    </xf>
    <xf numFmtId="0" fontId="46" fillId="4" borderId="61" xfId="7" applyFont="1" applyFill="1" applyBorder="1" applyAlignment="1">
      <alignment horizontal="center" vertical="center"/>
    </xf>
    <xf numFmtId="0" fontId="46" fillId="0" borderId="38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7" fillId="0" borderId="8" xfId="7" applyFont="1" applyBorder="1" applyAlignment="1">
      <alignment horizontal="center" vertical="center"/>
    </xf>
    <xf numFmtId="0" fontId="47" fillId="0" borderId="10" xfId="7" applyFont="1" applyBorder="1" applyAlignment="1">
      <alignment horizontal="center" vertical="center"/>
    </xf>
    <xf numFmtId="0" fontId="47" fillId="0" borderId="5" xfId="7" applyFont="1" applyBorder="1" applyAlignment="1">
      <alignment horizontal="center" vertical="center"/>
    </xf>
    <xf numFmtId="0" fontId="46" fillId="0" borderId="51" xfId="7" applyFont="1" applyBorder="1" applyAlignment="1">
      <alignment horizontal="left" vertical="center"/>
    </xf>
    <xf numFmtId="0" fontId="47" fillId="0" borderId="0" xfId="7" applyFont="1" applyBorder="1" applyAlignment="1">
      <alignment horizontal="center" vertical="center"/>
    </xf>
    <xf numFmtId="0" fontId="49" fillId="7" borderId="34" xfId="0" applyFont="1" applyFill="1" applyBorder="1" applyAlignment="1">
      <alignment vertical="center"/>
    </xf>
    <xf numFmtId="0" fontId="46" fillId="0" borderId="0" xfId="7" applyFont="1" applyBorder="1" applyAlignment="1">
      <alignment horizontal="left" vertical="center"/>
    </xf>
    <xf numFmtId="0" fontId="47" fillId="4" borderId="0" xfId="7" applyFont="1" applyFill="1" applyBorder="1" applyAlignment="1">
      <alignment horizontal="center" vertical="center"/>
    </xf>
    <xf numFmtId="16" fontId="47" fillId="4" borderId="0" xfId="7" applyNumberFormat="1" applyFont="1" applyFill="1" applyBorder="1" applyAlignment="1">
      <alignment horizontal="center" vertical="center"/>
    </xf>
    <xf numFmtId="0" fontId="46" fillId="0" borderId="60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39" xfId="7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53" fillId="0" borderId="14" xfId="7" applyFont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4" borderId="9" xfId="7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6" fillId="0" borderId="54" xfId="7" applyFont="1" applyBorder="1" applyAlignment="1">
      <alignment horizontal="center" vertical="center"/>
    </xf>
    <xf numFmtId="0" fontId="47" fillId="0" borderId="59" xfId="7" applyFont="1" applyBorder="1" applyAlignment="1">
      <alignment horizontal="center" vertical="center"/>
    </xf>
    <xf numFmtId="0" fontId="47" fillId="0" borderId="53" xfId="7" applyFont="1" applyBorder="1" applyAlignment="1">
      <alignment horizontal="center" vertical="center"/>
    </xf>
    <xf numFmtId="0" fontId="47" fillId="0" borderId="20" xfId="7" applyFont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53" fillId="0" borderId="24" xfId="7" applyFont="1" applyBorder="1" applyAlignment="1">
      <alignment horizontal="center" vertical="center"/>
    </xf>
    <xf numFmtId="0" fontId="46" fillId="4" borderId="0" xfId="0" applyFont="1" applyFill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53" fillId="0" borderId="0" xfId="0" applyFont="1" applyBorder="1" applyAlignment="1">
      <alignment vertical="center"/>
    </xf>
    <xf numFmtId="0" fontId="45" fillId="0" borderId="0" xfId="3" applyFont="1" applyBorder="1" applyAlignment="1">
      <alignment vertical="center"/>
    </xf>
    <xf numFmtId="0" fontId="46" fillId="0" borderId="58" xfId="7" applyFont="1" applyBorder="1" applyAlignment="1">
      <alignment horizontal="center" vertical="center"/>
    </xf>
    <xf numFmtId="0" fontId="46" fillId="0" borderId="60" xfId="7" applyFont="1" applyBorder="1" applyAlignment="1">
      <alignment horizontal="center" vertical="center"/>
    </xf>
    <xf numFmtId="0" fontId="53" fillId="0" borderId="71" xfId="7" applyFont="1" applyBorder="1" applyAlignment="1">
      <alignment horizontal="center" vertical="center"/>
    </xf>
    <xf numFmtId="0" fontId="53" fillId="0" borderId="73" xfId="7" applyFont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0" borderId="0" xfId="0" applyFont="1" applyBorder="1"/>
    <xf numFmtId="0" fontId="46" fillId="4" borderId="0" xfId="0" applyFont="1" applyFill="1"/>
    <xf numFmtId="0" fontId="46" fillId="0" borderId="0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6" fillId="4" borderId="0" xfId="0" applyFont="1" applyFill="1" applyAlignment="1">
      <alignment horizontal="left"/>
    </xf>
    <xf numFmtId="0" fontId="46" fillId="4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vertical="center"/>
    </xf>
    <xf numFmtId="0" fontId="47" fillId="0" borderId="53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/>
    </xf>
    <xf numFmtId="0" fontId="46" fillId="4" borderId="23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9" fillId="7" borderId="13" xfId="0" applyFont="1" applyFill="1" applyBorder="1" applyAlignment="1">
      <alignment horizontal="left" vertical="center"/>
    </xf>
    <xf numFmtId="0" fontId="46" fillId="7" borderId="12" xfId="0" applyFont="1" applyFill="1" applyBorder="1" applyAlignment="1">
      <alignment horizontal="left"/>
    </xf>
    <xf numFmtId="165" fontId="49" fillId="7" borderId="50" xfId="0" applyNumberFormat="1" applyFont="1" applyFill="1" applyBorder="1" applyAlignment="1">
      <alignment vertical="center"/>
    </xf>
    <xf numFmtId="0" fontId="46" fillId="4" borderId="51" xfId="6" applyFont="1" applyFill="1" applyBorder="1" applyAlignment="1">
      <alignment horizontal="left" vertical="center"/>
    </xf>
    <xf numFmtId="0" fontId="47" fillId="4" borderId="0" xfId="6" applyFont="1" applyFill="1" applyBorder="1" applyAlignment="1">
      <alignment horizontal="center" vertical="center"/>
    </xf>
    <xf numFmtId="168" fontId="47" fillId="4" borderId="0" xfId="0" applyNumberFormat="1" applyFont="1" applyFill="1" applyBorder="1" applyAlignment="1">
      <alignment horizontal="center" vertical="center"/>
    </xf>
    <xf numFmtId="170" fontId="47" fillId="4" borderId="0" xfId="0" applyNumberFormat="1" applyFont="1" applyFill="1" applyBorder="1" applyAlignment="1">
      <alignment horizontal="center" vertical="center"/>
    </xf>
    <xf numFmtId="0" fontId="46" fillId="4" borderId="0" xfId="6" applyFont="1" applyFill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0" xfId="0" applyFont="1" applyFill="1"/>
    <xf numFmtId="0" fontId="46" fillId="0" borderId="58" xfId="6" applyFont="1" applyBorder="1" applyAlignment="1">
      <alignment horizontal="center" vertical="center"/>
    </xf>
    <xf numFmtId="0" fontId="46" fillId="0" borderId="60" xfId="6" applyFont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6" fillId="0" borderId="51" xfId="6" applyFont="1" applyBorder="1" applyAlignment="1">
      <alignment horizontal="left" vertical="center"/>
    </xf>
    <xf numFmtId="0" fontId="47" fillId="0" borderId="0" xfId="6" applyFont="1" applyFill="1" applyBorder="1" applyAlignment="1">
      <alignment horizontal="center" vertical="center"/>
    </xf>
    <xf numFmtId="0" fontId="47" fillId="0" borderId="0" xfId="6" applyFont="1" applyBorder="1" applyAlignment="1">
      <alignment horizontal="center" vertical="center"/>
    </xf>
    <xf numFmtId="168" fontId="47" fillId="0" borderId="0" xfId="0" applyNumberFormat="1" applyFont="1" applyBorder="1" applyAlignment="1">
      <alignment horizontal="center" vertical="center"/>
    </xf>
    <xf numFmtId="170" fontId="47" fillId="0" borderId="0" xfId="0" applyNumberFormat="1" applyFont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0" fontId="46" fillId="0" borderId="0" xfId="6" applyFont="1" applyBorder="1" applyAlignment="1">
      <alignment horizontal="left" vertical="center"/>
    </xf>
    <xf numFmtId="16" fontId="46" fillId="0" borderId="0" xfId="6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56" fillId="0" borderId="0" xfId="0" applyFont="1" applyFill="1"/>
    <xf numFmtId="0" fontId="5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51" xfId="0" applyFont="1" applyFill="1" applyBorder="1" applyAlignment="1">
      <alignment horizontal="left" vertical="center"/>
    </xf>
    <xf numFmtId="0" fontId="47" fillId="4" borderId="19" xfId="6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/>
    </xf>
    <xf numFmtId="0" fontId="49" fillId="7" borderId="13" xfId="0" applyFont="1" applyFill="1" applyBorder="1" applyAlignment="1">
      <alignment vertical="center"/>
    </xf>
    <xf numFmtId="0" fontId="47" fillId="4" borderId="5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7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46" fillId="0" borderId="53" xfId="6" applyFont="1" applyBorder="1" applyAlignment="1">
      <alignment horizontal="center" vertical="center"/>
    </xf>
    <xf numFmtId="0" fontId="46" fillId="7" borderId="34" xfId="0" applyFont="1" applyFill="1" applyBorder="1" applyAlignment="1">
      <alignment horizontal="left"/>
    </xf>
    <xf numFmtId="0" fontId="46" fillId="0" borderId="3" xfId="6" applyFont="1" applyBorder="1" applyAlignment="1">
      <alignment horizontal="center" vertical="center"/>
    </xf>
    <xf numFmtId="0" fontId="46" fillId="0" borderId="4" xfId="6" applyFont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73" fillId="6" borderId="40" xfId="0" applyFont="1" applyFill="1" applyBorder="1" applyAlignment="1">
      <alignment horizontal="center" vertical="center"/>
    </xf>
    <xf numFmtId="0" fontId="74" fillId="0" borderId="40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0" fontId="46" fillId="0" borderId="23" xfId="6" applyFont="1" applyBorder="1" applyAlignment="1">
      <alignment horizontal="center" vertical="center"/>
    </xf>
    <xf numFmtId="0" fontId="75" fillId="8" borderId="75" xfId="0" applyFont="1" applyFill="1" applyBorder="1" applyAlignment="1">
      <alignment horizontal="center" vertical="center"/>
    </xf>
    <xf numFmtId="0" fontId="76" fillId="0" borderId="30" xfId="0" applyFont="1" applyBorder="1" applyAlignment="1">
      <alignment horizontal="center" vertical="center" wrapText="1"/>
    </xf>
    <xf numFmtId="0" fontId="46" fillId="0" borderId="10" xfId="7" applyFont="1" applyBorder="1" applyAlignment="1">
      <alignment horizontal="center" vertical="center"/>
    </xf>
    <xf numFmtId="0" fontId="46" fillId="0" borderId="19" xfId="6" applyFont="1" applyBorder="1" applyAlignment="1">
      <alignment horizontal="center" vertical="center"/>
    </xf>
    <xf numFmtId="0" fontId="46" fillId="0" borderId="21" xfId="6" applyFont="1" applyBorder="1" applyAlignment="1">
      <alignment horizontal="center" vertical="center"/>
    </xf>
    <xf numFmtId="0" fontId="46" fillId="0" borderId="22" xfId="6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7" fillId="4" borderId="0" xfId="0" applyNumberFormat="1" applyFont="1" applyFill="1" applyBorder="1" applyAlignment="1">
      <alignment horizontal="center" vertical="center"/>
    </xf>
    <xf numFmtId="0" fontId="53" fillId="4" borderId="0" xfId="0" applyNumberFormat="1" applyFont="1" applyFill="1" applyBorder="1" applyAlignment="1">
      <alignment horizontal="center" vertical="center"/>
    </xf>
    <xf numFmtId="0" fontId="47" fillId="4" borderId="6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46" fillId="0" borderId="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right"/>
    </xf>
    <xf numFmtId="0" fontId="47" fillId="4" borderId="0" xfId="0" applyFont="1" applyFill="1"/>
    <xf numFmtId="0" fontId="46" fillId="0" borderId="0" xfId="0" applyFont="1" applyAlignment="1">
      <alignment horizontal="center" vertical="center"/>
    </xf>
    <xf numFmtId="168" fontId="53" fillId="4" borderId="0" xfId="0" applyNumberFormat="1" applyFont="1" applyFill="1" applyBorder="1" applyAlignment="1">
      <alignment horizontal="center" vertical="center"/>
    </xf>
    <xf numFmtId="170" fontId="53" fillId="8" borderId="0" xfId="0" applyNumberFormat="1" applyFont="1" applyFill="1" applyBorder="1" applyAlignment="1">
      <alignment horizontal="center" vertical="center"/>
    </xf>
    <xf numFmtId="16" fontId="47" fillId="4" borderId="0" xfId="6" applyNumberFormat="1" applyFont="1" applyFill="1" applyBorder="1" applyAlignment="1">
      <alignment horizontal="center" vertical="center"/>
    </xf>
    <xf numFmtId="0" fontId="46" fillId="8" borderId="20" xfId="1" applyFont="1" applyFill="1" applyBorder="1" applyAlignment="1">
      <alignment horizontal="center" vertical="center"/>
    </xf>
    <xf numFmtId="0" fontId="46" fillId="8" borderId="28" xfId="1" applyFont="1" applyFill="1" applyBorder="1" applyAlignment="1">
      <alignment horizontal="center" vertical="center"/>
    </xf>
    <xf numFmtId="169" fontId="59" fillId="8" borderId="28" xfId="1" applyNumberFormat="1" applyFont="1" applyFill="1" applyBorder="1" applyAlignment="1">
      <alignment horizontal="center" vertical="center" wrapText="1"/>
    </xf>
    <xf numFmtId="0" fontId="46" fillId="8" borderId="76" xfId="1" applyFont="1" applyFill="1" applyBorder="1" applyAlignment="1">
      <alignment horizontal="center" vertical="center"/>
    </xf>
    <xf numFmtId="0" fontId="46" fillId="8" borderId="76" xfId="1" applyFont="1" applyFill="1" applyBorder="1" applyAlignment="1">
      <alignment horizontal="center" vertical="center" wrapText="1"/>
    </xf>
    <xf numFmtId="0" fontId="46" fillId="8" borderId="77" xfId="1" applyFont="1" applyFill="1" applyBorder="1" applyAlignment="1">
      <alignment horizontal="center" vertical="center"/>
    </xf>
    <xf numFmtId="0" fontId="46" fillId="8" borderId="77" xfId="1" applyFont="1" applyFill="1" applyBorder="1" applyAlignment="1">
      <alignment horizontal="center" vertical="center" wrapText="1"/>
    </xf>
    <xf numFmtId="0" fontId="46" fillId="8" borderId="79" xfId="1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/>
    </xf>
    <xf numFmtId="0" fontId="7" fillId="8" borderId="76" xfId="0" applyFont="1" applyFill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46" fillId="0" borderId="20" xfId="0" applyFont="1" applyBorder="1" applyAlignment="1">
      <alignment horizontal="center" vertical="center"/>
    </xf>
    <xf numFmtId="0" fontId="46" fillId="0" borderId="60" xfId="7" applyFont="1" applyBorder="1" applyAlignment="1">
      <alignment horizontal="center" vertical="center"/>
    </xf>
    <xf numFmtId="0" fontId="47" fillId="0" borderId="19" xfId="7" applyFont="1" applyBorder="1" applyAlignment="1">
      <alignment horizontal="center" vertical="center"/>
    </xf>
    <xf numFmtId="0" fontId="47" fillId="0" borderId="14" xfId="7" applyFont="1" applyBorder="1" applyAlignment="1">
      <alignment horizontal="center" vertical="center"/>
    </xf>
    <xf numFmtId="0" fontId="47" fillId="0" borderId="28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/>
    </xf>
    <xf numFmtId="0" fontId="51" fillId="4" borderId="0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16" fontId="51" fillId="4" borderId="0" xfId="6" applyNumberFormat="1" applyFont="1" applyFill="1" applyBorder="1" applyAlignment="1">
      <alignment horizontal="center" vertical="center"/>
    </xf>
    <xf numFmtId="16" fontId="47" fillId="4" borderId="69" xfId="6" applyNumberFormat="1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8" xfId="6" applyFont="1" applyBorder="1" applyAlignment="1">
      <alignment horizontal="center" vertical="center"/>
    </xf>
    <xf numFmtId="0" fontId="46" fillId="0" borderId="80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9" xfId="6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0" fontId="46" fillId="4" borderId="51" xfId="0" applyFont="1" applyFill="1" applyBorder="1" applyAlignment="1">
      <alignment horizontal="left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4" borderId="0" xfId="0" applyFont="1" applyFill="1" applyBorder="1" applyAlignment="1">
      <alignment vertical="center"/>
    </xf>
    <xf numFmtId="0" fontId="47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169" fontId="46" fillId="4" borderId="0" xfId="1" applyNumberFormat="1" applyFont="1" applyFill="1" applyBorder="1" applyAlignment="1">
      <alignment horizontal="center" vertical="center"/>
    </xf>
    <xf numFmtId="1" fontId="45" fillId="4" borderId="0" xfId="4" applyNumberFormat="1" applyFont="1" applyFill="1" applyBorder="1" applyAlignment="1">
      <alignment horizontal="left" vertical="center"/>
    </xf>
    <xf numFmtId="1" fontId="45" fillId="4" borderId="0" xfId="4" applyNumberFormat="1" applyFont="1" applyFill="1" applyAlignment="1">
      <alignment horizontal="left" vertical="center"/>
    </xf>
    <xf numFmtId="0" fontId="45" fillId="4" borderId="0" xfId="4" applyFont="1" applyFill="1" applyBorder="1" applyAlignment="1">
      <alignment vertical="center"/>
    </xf>
    <xf numFmtId="0" fontId="46" fillId="0" borderId="0" xfId="0" applyFont="1" applyAlignment="1">
      <alignment horizontal="center"/>
    </xf>
    <xf numFmtId="0" fontId="46" fillId="4" borderId="21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29" fillId="0" borderId="76" xfId="0" applyFont="1" applyBorder="1" applyAlignment="1">
      <alignment horizontal="center"/>
    </xf>
    <xf numFmtId="172" fontId="46" fillId="0" borderId="76" xfId="12" applyNumberFormat="1" applyFont="1" applyBorder="1" applyAlignment="1">
      <alignment horizontal="center" vertical="center"/>
    </xf>
    <xf numFmtId="172" fontId="46" fillId="0" borderId="78" xfId="12" applyNumberFormat="1" applyFont="1" applyBorder="1" applyAlignment="1">
      <alignment horizontal="center" vertical="center"/>
    </xf>
    <xf numFmtId="0" fontId="84" fillId="0" borderId="81" xfId="5" applyFont="1" applyFill="1" applyBorder="1" applyAlignment="1">
      <alignment horizontal="center" vertical="center"/>
    </xf>
    <xf numFmtId="0" fontId="84" fillId="0" borderId="76" xfId="5" applyFont="1" applyFill="1" applyBorder="1" applyAlignment="1">
      <alignment horizontal="center" vertical="center"/>
    </xf>
    <xf numFmtId="0" fontId="46" fillId="8" borderId="80" xfId="1" applyFont="1" applyFill="1" applyBorder="1" applyAlignment="1">
      <alignment horizontal="center" vertical="center"/>
    </xf>
    <xf numFmtId="0" fontId="46" fillId="8" borderId="81" xfId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169" fontId="46" fillId="8" borderId="28" xfId="1" applyNumberFormat="1" applyFont="1" applyFill="1" applyBorder="1" applyAlignment="1">
      <alignment horizontal="center" vertical="center"/>
    </xf>
    <xf numFmtId="169" fontId="46" fillId="8" borderId="23" xfId="1" applyNumberFormat="1" applyFont="1" applyFill="1" applyBorder="1" applyAlignment="1">
      <alignment horizontal="center" vertical="center"/>
    </xf>
    <xf numFmtId="0" fontId="47" fillId="4" borderId="22" xfId="0" applyFont="1" applyFill="1" applyBorder="1" applyAlignment="1">
      <alignment horizontal="center" vertical="center"/>
    </xf>
    <xf numFmtId="16" fontId="17" fillId="0" borderId="7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4" borderId="51" xfId="0" applyFont="1" applyFill="1" applyBorder="1" applyAlignment="1">
      <alignment horizontal="left" vertical="center"/>
    </xf>
    <xf numFmtId="0" fontId="46" fillId="0" borderId="59" xfId="7" applyFont="1" applyBorder="1" applyAlignment="1">
      <alignment horizontal="center" vertical="center"/>
    </xf>
    <xf numFmtId="0" fontId="54" fillId="7" borderId="50" xfId="0" applyFont="1" applyFill="1" applyBorder="1" applyAlignment="1">
      <alignment vertical="center"/>
    </xf>
    <xf numFmtId="0" fontId="49" fillId="7" borderId="50" xfId="0" applyFont="1" applyFill="1" applyBorder="1" applyAlignment="1">
      <alignment vertical="center"/>
    </xf>
    <xf numFmtId="0" fontId="72" fillId="0" borderId="76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45" fillId="0" borderId="50" xfId="4" applyFont="1" applyBorder="1" applyAlignment="1">
      <alignment vertical="center"/>
    </xf>
    <xf numFmtId="0" fontId="46" fillId="0" borderId="50" xfId="0" applyFont="1" applyBorder="1" applyAlignment="1">
      <alignment horizontal="center"/>
    </xf>
    <xf numFmtId="0" fontId="46" fillId="0" borderId="50" xfId="0" applyFont="1" applyBorder="1"/>
    <xf numFmtId="0" fontId="46" fillId="0" borderId="50" xfId="0" applyFont="1" applyBorder="1" applyAlignment="1">
      <alignment horizontal="left" vertical="center"/>
    </xf>
    <xf numFmtId="0" fontId="46" fillId="0" borderId="50" xfId="0" applyFont="1" applyBorder="1" applyAlignment="1">
      <alignment vertical="center"/>
    </xf>
    <xf numFmtId="0" fontId="46" fillId="0" borderId="6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6" fillId="0" borderId="42" xfId="0" applyFont="1" applyFill="1" applyBorder="1" applyAlignment="1">
      <alignment horizontal="left" vertical="center"/>
    </xf>
    <xf numFmtId="0" fontId="47" fillId="4" borderId="43" xfId="0" applyFont="1" applyFill="1" applyBorder="1" applyAlignment="1">
      <alignment horizontal="center" vertical="center"/>
    </xf>
    <xf numFmtId="0" fontId="47" fillId="4" borderId="43" xfId="0" applyNumberFormat="1" applyFont="1" applyFill="1" applyBorder="1" applyAlignment="1">
      <alignment horizontal="center" vertical="center"/>
    </xf>
    <xf numFmtId="0" fontId="53" fillId="4" borderId="43" xfId="0" applyNumberFormat="1" applyFont="1" applyFill="1" applyBorder="1" applyAlignment="1">
      <alignment horizontal="center" vertical="center"/>
    </xf>
    <xf numFmtId="0" fontId="47" fillId="4" borderId="28" xfId="6" applyFont="1" applyFill="1" applyBorder="1" applyAlignment="1">
      <alignment horizontal="center" vertical="center"/>
    </xf>
    <xf numFmtId="0" fontId="47" fillId="4" borderId="76" xfId="6" applyFont="1" applyFill="1" applyBorder="1" applyAlignment="1">
      <alignment horizontal="center" vertical="center"/>
    </xf>
    <xf numFmtId="0" fontId="47" fillId="4" borderId="21" xfId="6" applyFont="1" applyFill="1" applyBorder="1" applyAlignment="1">
      <alignment horizontal="center" vertical="center"/>
    </xf>
    <xf numFmtId="0" fontId="47" fillId="4" borderId="53" xfId="6" applyFont="1" applyFill="1" applyBorder="1" applyAlignment="1">
      <alignment horizontal="center" vertical="center"/>
    </xf>
    <xf numFmtId="0" fontId="46" fillId="0" borderId="51" xfId="0" applyFont="1" applyBorder="1"/>
    <xf numFmtId="0" fontId="46" fillId="0" borderId="50" xfId="0" applyFont="1" applyBorder="1" applyAlignment="1">
      <alignment horizontal="left"/>
    </xf>
    <xf numFmtId="0" fontId="47" fillId="0" borderId="79" xfId="7" applyFont="1" applyBorder="1" applyAlignment="1">
      <alignment horizontal="center" vertical="center"/>
    </xf>
    <xf numFmtId="0" fontId="47" fillId="4" borderId="83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horizontal="center" vertical="center"/>
    </xf>
    <xf numFmtId="0" fontId="47" fillId="4" borderId="53" xfId="0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left" vertical="center"/>
    </xf>
    <xf numFmtId="0" fontId="47" fillId="4" borderId="14" xfId="6" applyFont="1" applyFill="1" applyBorder="1" applyAlignment="1">
      <alignment horizontal="center" vertical="center"/>
    </xf>
    <xf numFmtId="0" fontId="47" fillId="4" borderId="28" xfId="6" applyFont="1" applyFill="1" applyBorder="1" applyAlignment="1">
      <alignment horizontal="center" vertical="center"/>
    </xf>
    <xf numFmtId="165" fontId="49" fillId="7" borderId="50" xfId="0" applyNumberFormat="1" applyFont="1" applyFill="1" applyBorder="1" applyAlignment="1">
      <alignment horizontal="left" vertical="center"/>
    </xf>
    <xf numFmtId="168" fontId="47" fillId="4" borderId="28" xfId="0" applyNumberFormat="1" applyFont="1" applyFill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70" fontId="47" fillId="8" borderId="14" xfId="0" applyNumberFormat="1" applyFont="1" applyFill="1" applyBorder="1" applyAlignment="1">
      <alignment horizontal="center" vertical="center"/>
    </xf>
    <xf numFmtId="170" fontId="47" fillId="8" borderId="28" xfId="0" applyNumberFormat="1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170" fontId="47" fillId="8" borderId="16" xfId="0" applyNumberFormat="1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7" fillId="4" borderId="78" xfId="6" applyFont="1" applyFill="1" applyBorder="1" applyAlignment="1">
      <alignment horizontal="center" vertical="center"/>
    </xf>
    <xf numFmtId="0" fontId="47" fillId="0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1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16" fontId="47" fillId="4" borderId="17" xfId="0" applyNumberFormat="1" applyFont="1" applyFill="1" applyBorder="1" applyAlignment="1">
      <alignment horizontal="center" vertical="center"/>
    </xf>
    <xf numFmtId="16" fontId="47" fillId="4" borderId="14" xfId="0" applyNumberFormat="1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16" fontId="51" fillId="4" borderId="16" xfId="0" applyNumberFormat="1" applyFont="1" applyFill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16" fontId="51" fillId="4" borderId="14" xfId="0" applyNumberFormat="1" applyFont="1" applyFill="1" applyBorder="1" applyAlignment="1">
      <alignment horizontal="center" vertical="center"/>
    </xf>
    <xf numFmtId="16" fontId="51" fillId="4" borderId="17" xfId="0" applyNumberFormat="1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76" xfId="6" applyFont="1" applyFill="1" applyBorder="1" applyAlignment="1">
      <alignment horizontal="center" vertical="center"/>
    </xf>
    <xf numFmtId="170" fontId="47" fillId="4" borderId="28" xfId="0" applyNumberFormat="1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/>
    </xf>
    <xf numFmtId="0" fontId="47" fillId="4" borderId="80" xfId="0" applyFont="1" applyFill="1" applyBorder="1" applyAlignment="1">
      <alignment horizontal="center" vertical="center"/>
    </xf>
    <xf numFmtId="0" fontId="47" fillId="4" borderId="81" xfId="0" applyFont="1" applyFill="1" applyBorder="1" applyAlignment="1">
      <alignment horizontal="center" vertical="center"/>
    </xf>
    <xf numFmtId="16" fontId="47" fillId="4" borderId="19" xfId="0" applyNumberFormat="1" applyFont="1" applyFill="1" applyBorder="1" applyAlignment="1">
      <alignment horizontal="center" vertical="center"/>
    </xf>
    <xf numFmtId="0" fontId="47" fillId="4" borderId="82" xfId="0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9" fillId="7" borderId="43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left" vertical="center"/>
    </xf>
    <xf numFmtId="0" fontId="46" fillId="4" borderId="59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4" borderId="28" xfId="0" applyFont="1" applyFill="1" applyBorder="1" applyAlignment="1">
      <alignment horizontal="left" vertical="center"/>
    </xf>
    <xf numFmtId="0" fontId="47" fillId="4" borderId="76" xfId="7" applyFont="1" applyFill="1" applyBorder="1" applyAlignment="1">
      <alignment horizontal="center" vertical="center"/>
    </xf>
    <xf numFmtId="0" fontId="47" fillId="4" borderId="77" xfId="7" applyFont="1" applyFill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39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16" fontId="46" fillId="0" borderId="28" xfId="7" applyNumberFormat="1" applyFont="1" applyFill="1" applyBorder="1" applyAlignment="1">
      <alignment horizontal="center" vertical="center"/>
    </xf>
    <xf numFmtId="16" fontId="56" fillId="0" borderId="28" xfId="7" applyNumberFormat="1" applyFont="1" applyFill="1" applyBorder="1" applyAlignment="1">
      <alignment horizontal="center" vertical="center"/>
    </xf>
    <xf numFmtId="16" fontId="53" fillId="0" borderId="3" xfId="7" applyNumberFormat="1" applyFont="1" applyFill="1" applyBorder="1" applyAlignment="1">
      <alignment horizontal="center" vertical="center"/>
    </xf>
    <xf numFmtId="0" fontId="46" fillId="0" borderId="38" xfId="0" applyFont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left" vertical="center"/>
    </xf>
    <xf numFmtId="0" fontId="49" fillId="7" borderId="43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7" fillId="0" borderId="77" xfId="7" applyFont="1" applyBorder="1" applyAlignment="1">
      <alignment horizontal="center" vertical="center"/>
    </xf>
    <xf numFmtId="0" fontId="47" fillId="0" borderId="77" xfId="7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16" fontId="47" fillId="0" borderId="28" xfId="0" applyNumberFormat="1" applyFont="1" applyFill="1" applyBorder="1" applyAlignment="1">
      <alignment horizontal="center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50" fillId="4" borderId="28" xfId="0" quotePrefix="1" applyFont="1" applyFill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0" borderId="24" xfId="0" applyFont="1" applyFill="1" applyBorder="1" applyAlignment="1">
      <alignment vertical="center"/>
    </xf>
    <xf numFmtId="0" fontId="47" fillId="4" borderId="6" xfId="0" applyFont="1" applyFill="1" applyBorder="1" applyAlignment="1">
      <alignment vertical="center"/>
    </xf>
    <xf numFmtId="16" fontId="47" fillId="4" borderId="6" xfId="0" applyNumberFormat="1" applyFont="1" applyFill="1" applyBorder="1" applyAlignment="1">
      <alignment vertical="center"/>
    </xf>
    <xf numFmtId="16" fontId="47" fillId="4" borderId="53" xfId="0" applyNumberFormat="1" applyFont="1" applyFill="1" applyBorder="1" applyAlignment="1">
      <alignment vertical="center"/>
    </xf>
    <xf numFmtId="16" fontId="47" fillId="4" borderId="5" xfId="0" applyNumberFormat="1" applyFont="1" applyFill="1" applyBorder="1" applyAlignment="1">
      <alignment vertical="center"/>
    </xf>
    <xf numFmtId="16" fontId="47" fillId="4" borderId="7" xfId="0" applyNumberFormat="1" applyFont="1" applyFill="1" applyBorder="1" applyAlignment="1">
      <alignment vertical="center"/>
    </xf>
    <xf numFmtId="0" fontId="51" fillId="4" borderId="76" xfId="0" applyFont="1" applyFill="1" applyBorder="1" applyAlignment="1">
      <alignment horizontal="center" vertical="center"/>
    </xf>
    <xf numFmtId="0" fontId="56" fillId="0" borderId="81" xfId="0" applyFont="1" applyFill="1" applyBorder="1" applyAlignment="1">
      <alignment vertical="center"/>
    </xf>
    <xf numFmtId="0" fontId="47" fillId="4" borderId="76" xfId="0" applyFont="1" applyFill="1" applyBorder="1" applyAlignment="1">
      <alignment vertical="center"/>
    </xf>
    <xf numFmtId="0" fontId="50" fillId="8" borderId="76" xfId="0" quotePrefix="1" applyNumberFormat="1" applyFont="1" applyFill="1" applyBorder="1" applyAlignment="1">
      <alignment vertical="center"/>
    </xf>
    <xf numFmtId="0" fontId="46" fillId="0" borderId="6" xfId="0" applyFont="1" applyBorder="1" applyAlignment="1">
      <alignment vertical="center"/>
    </xf>
    <xf numFmtId="16" fontId="47" fillId="4" borderId="76" xfId="0" applyNumberFormat="1" applyFont="1" applyFill="1" applyBorder="1" applyAlignment="1">
      <alignment vertical="center"/>
    </xf>
    <xf numFmtId="0" fontId="47" fillId="4" borderId="14" xfId="0" applyFont="1" applyFill="1" applyBorder="1" applyAlignment="1">
      <alignment vertical="center"/>
    </xf>
    <xf numFmtId="0" fontId="47" fillId="4" borderId="14" xfId="6" applyFont="1" applyFill="1" applyBorder="1" applyAlignment="1">
      <alignment vertical="center"/>
    </xf>
    <xf numFmtId="16" fontId="47" fillId="4" borderId="28" xfId="6" applyNumberFormat="1" applyFont="1" applyFill="1" applyBorder="1" applyAlignment="1">
      <alignment vertical="center"/>
    </xf>
    <xf numFmtId="16" fontId="47" fillId="4" borderId="22" xfId="6" applyNumberFormat="1" applyFont="1" applyFill="1" applyBorder="1" applyAlignment="1">
      <alignment vertical="center"/>
    </xf>
    <xf numFmtId="16" fontId="47" fillId="4" borderId="20" xfId="6" applyNumberFormat="1" applyFont="1" applyFill="1" applyBorder="1" applyAlignment="1">
      <alignment vertical="center"/>
    </xf>
    <xf numFmtId="16" fontId="47" fillId="4" borderId="23" xfId="6" applyNumberFormat="1" applyFont="1" applyFill="1" applyBorder="1" applyAlignment="1">
      <alignment vertical="center"/>
    </xf>
    <xf numFmtId="0" fontId="47" fillId="4" borderId="28" xfId="6" applyFont="1" applyFill="1" applyBorder="1" applyAlignment="1">
      <alignment vertical="center"/>
    </xf>
    <xf numFmtId="16" fontId="47" fillId="4" borderId="6" xfId="6" applyNumberFormat="1" applyFont="1" applyFill="1" applyBorder="1" applyAlignment="1">
      <alignment vertical="center"/>
    </xf>
    <xf numFmtId="16" fontId="47" fillId="4" borderId="19" xfId="6" applyNumberFormat="1" applyFont="1" applyFill="1" applyBorder="1" applyAlignment="1">
      <alignment vertical="center"/>
    </xf>
    <xf numFmtId="16" fontId="47" fillId="4" borderId="5" xfId="6" applyNumberFormat="1" applyFont="1" applyFill="1" applyBorder="1" applyAlignment="1">
      <alignment vertical="center"/>
    </xf>
    <xf numFmtId="16" fontId="47" fillId="4" borderId="7" xfId="6" applyNumberFormat="1" applyFont="1" applyFill="1" applyBorder="1" applyAlignment="1">
      <alignment vertical="center"/>
    </xf>
    <xf numFmtId="0" fontId="47" fillId="0" borderId="16" xfId="6" applyFont="1" applyFill="1" applyBorder="1" applyAlignment="1">
      <alignment vertical="center"/>
    </xf>
    <xf numFmtId="0" fontId="47" fillId="0" borderId="14" xfId="6" applyFont="1" applyFill="1" applyBorder="1" applyAlignment="1">
      <alignment vertical="center"/>
    </xf>
    <xf numFmtId="0" fontId="47" fillId="0" borderId="76" xfId="6" applyFont="1" applyFill="1" applyBorder="1" applyAlignment="1">
      <alignment vertical="center"/>
    </xf>
    <xf numFmtId="0" fontId="47" fillId="4" borderId="16" xfId="6" applyFont="1" applyFill="1" applyBorder="1" applyAlignment="1">
      <alignment vertical="center"/>
    </xf>
    <xf numFmtId="0" fontId="46" fillId="0" borderId="3" xfId="6" applyFont="1" applyBorder="1" applyAlignment="1">
      <alignment horizontal="center" vertical="center"/>
    </xf>
    <xf numFmtId="0" fontId="46" fillId="0" borderId="13" xfId="6" applyFont="1" applyBorder="1" applyAlignment="1">
      <alignment horizontal="center" vertical="center"/>
    </xf>
    <xf numFmtId="0" fontId="47" fillId="4" borderId="2" xfId="6" applyFont="1" applyFill="1" applyBorder="1" applyAlignment="1">
      <alignment horizontal="center" vertical="center"/>
    </xf>
    <xf numFmtId="0" fontId="47" fillId="4" borderId="3" xfId="6" applyFont="1" applyFill="1" applyBorder="1" applyAlignment="1">
      <alignment horizontal="center" vertical="center"/>
    </xf>
    <xf numFmtId="0" fontId="47" fillId="4" borderId="13" xfId="6" applyFont="1" applyFill="1" applyBorder="1" applyAlignment="1">
      <alignment horizontal="center" vertical="center"/>
    </xf>
    <xf numFmtId="0" fontId="47" fillId="4" borderId="4" xfId="6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7" fillId="4" borderId="81" xfId="6" applyFont="1" applyFill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vertical="center"/>
    </xf>
    <xf numFmtId="0" fontId="47" fillId="4" borderId="77" xfId="6" applyFont="1" applyFill="1" applyBorder="1" applyAlignment="1">
      <alignment horizontal="center" vertical="center"/>
    </xf>
    <xf numFmtId="0" fontId="47" fillId="4" borderId="82" xfId="6" applyFont="1" applyFill="1" applyBorder="1" applyAlignment="1">
      <alignment horizontal="center" vertical="center"/>
    </xf>
    <xf numFmtId="0" fontId="47" fillId="4" borderId="80" xfId="6" applyFont="1" applyFill="1" applyBorder="1" applyAlignment="1">
      <alignment horizontal="center" vertical="center"/>
    </xf>
    <xf numFmtId="0" fontId="47" fillId="4" borderId="79" xfId="6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vertical="center"/>
    </xf>
    <xf numFmtId="16" fontId="47" fillId="4" borderId="28" xfId="0" applyNumberFormat="1" applyFont="1" applyFill="1" applyBorder="1" applyAlignment="1">
      <alignment vertical="center"/>
    </xf>
    <xf numFmtId="16" fontId="47" fillId="4" borderId="23" xfId="0" applyNumberFormat="1" applyFont="1" applyFill="1" applyBorder="1" applyAlignment="1">
      <alignment vertical="center"/>
    </xf>
    <xf numFmtId="16" fontId="47" fillId="4" borderId="14" xfId="0" applyNumberFormat="1" applyFont="1" applyFill="1" applyBorder="1" applyAlignment="1">
      <alignment vertical="center"/>
    </xf>
    <xf numFmtId="0" fontId="47" fillId="4" borderId="77" xfId="0" applyFont="1" applyFill="1" applyBorder="1" applyAlignment="1">
      <alignment vertical="center"/>
    </xf>
    <xf numFmtId="0" fontId="47" fillId="4" borderId="20" xfId="0" applyFont="1" applyFill="1" applyBorder="1" applyAlignment="1">
      <alignment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vertical="center"/>
    </xf>
    <xf numFmtId="0" fontId="46" fillId="4" borderId="83" xfId="0" applyFont="1" applyFill="1" applyBorder="1" applyAlignment="1">
      <alignment horizontal="center" vertical="center"/>
    </xf>
    <xf numFmtId="0" fontId="46" fillId="4" borderId="78" xfId="0" applyFont="1" applyFill="1" applyBorder="1" applyAlignment="1">
      <alignment horizontal="center" vertical="center"/>
    </xf>
    <xf numFmtId="0" fontId="47" fillId="4" borderId="81" xfId="0" applyFont="1" applyFill="1" applyBorder="1" applyAlignment="1">
      <alignment vertical="center"/>
    </xf>
    <xf numFmtId="16" fontId="51" fillId="4" borderId="28" xfId="0" applyNumberFormat="1" applyFont="1" applyFill="1" applyBorder="1" applyAlignment="1">
      <alignment vertical="center"/>
    </xf>
    <xf numFmtId="0" fontId="47" fillId="0" borderId="28" xfId="0" applyFont="1" applyFill="1" applyBorder="1" applyAlignment="1">
      <alignment vertical="center"/>
    </xf>
    <xf numFmtId="0" fontId="47" fillId="0" borderId="76" xfId="0" applyFont="1" applyFill="1" applyBorder="1" applyAlignment="1">
      <alignment horizontal="center" vertical="center"/>
    </xf>
    <xf numFmtId="0" fontId="47" fillId="0" borderId="76" xfId="0" applyFont="1" applyFill="1" applyBorder="1" applyAlignment="1">
      <alignment vertical="center"/>
    </xf>
    <xf numFmtId="16" fontId="47" fillId="0" borderId="76" xfId="0" applyNumberFormat="1" applyFont="1" applyFill="1" applyBorder="1" applyAlignment="1">
      <alignment vertical="center"/>
    </xf>
    <xf numFmtId="16" fontId="47" fillId="0" borderId="76" xfId="0" applyNumberFormat="1" applyFont="1" applyFill="1" applyBorder="1" applyAlignment="1">
      <alignment horizontal="center" vertical="center"/>
    </xf>
    <xf numFmtId="16" fontId="51" fillId="0" borderId="76" xfId="0" applyNumberFormat="1" applyFont="1" applyFill="1" applyBorder="1" applyAlignment="1">
      <alignment vertical="center"/>
    </xf>
    <xf numFmtId="16" fontId="51" fillId="4" borderId="76" xfId="0" applyNumberFormat="1" applyFont="1" applyFill="1" applyBorder="1" applyAlignment="1">
      <alignment vertical="center"/>
    </xf>
    <xf numFmtId="16" fontId="47" fillId="0" borderId="28" xfId="6" applyNumberFormat="1" applyFont="1" applyBorder="1" applyAlignment="1">
      <alignment vertical="center"/>
    </xf>
    <xf numFmtId="16" fontId="47" fillId="4" borderId="14" xfId="6" applyNumberFormat="1" applyFont="1" applyFill="1" applyBorder="1" applyAlignment="1">
      <alignment vertical="center"/>
    </xf>
    <xf numFmtId="16" fontId="47" fillId="4" borderId="15" xfId="6" applyNumberFormat="1" applyFont="1" applyFill="1" applyBorder="1" applyAlignment="1">
      <alignment vertical="center"/>
    </xf>
    <xf numFmtId="16" fontId="47" fillId="0" borderId="76" xfId="6" applyNumberFormat="1" applyFont="1" applyBorder="1" applyAlignment="1">
      <alignment vertical="center"/>
    </xf>
    <xf numFmtId="16" fontId="47" fillId="4" borderId="76" xfId="6" applyNumberFormat="1" applyFont="1" applyFill="1" applyBorder="1" applyAlignment="1">
      <alignment vertical="center"/>
    </xf>
    <xf numFmtId="0" fontId="56" fillId="0" borderId="76" xfId="0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0" fontId="46" fillId="0" borderId="83" xfId="0" applyFont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0" borderId="84" xfId="6" applyFont="1" applyBorder="1" applyAlignment="1">
      <alignment horizontal="center" vertical="center"/>
    </xf>
    <xf numFmtId="170" fontId="47" fillId="4" borderId="28" xfId="0" applyNumberFormat="1" applyFont="1" applyFill="1" applyBorder="1" applyAlignment="1">
      <alignment vertical="center"/>
    </xf>
    <xf numFmtId="170" fontId="47" fillId="4" borderId="76" xfId="0" applyNumberFormat="1" applyFont="1" applyFill="1" applyBorder="1" applyAlignment="1">
      <alignment vertical="center"/>
    </xf>
    <xf numFmtId="170" fontId="47" fillId="4" borderId="76" xfId="0" applyNumberFormat="1" applyFont="1" applyFill="1" applyBorder="1" applyAlignment="1">
      <alignment horizontal="center" vertical="center"/>
    </xf>
    <xf numFmtId="16" fontId="47" fillId="4" borderId="78" xfId="6" applyNumberFormat="1" applyFont="1" applyFill="1" applyBorder="1" applyAlignment="1">
      <alignment vertical="center"/>
    </xf>
    <xf numFmtId="16" fontId="47" fillId="4" borderId="79" xfId="6" applyNumberFormat="1" applyFont="1" applyFill="1" applyBorder="1" applyAlignment="1">
      <alignment vertical="center"/>
    </xf>
    <xf numFmtId="0" fontId="46" fillId="0" borderId="38" xfId="6" applyFont="1" applyBorder="1" applyAlignment="1">
      <alignment vertical="center"/>
    </xf>
    <xf numFmtId="16" fontId="47" fillId="4" borderId="81" xfId="6" applyNumberFormat="1" applyFont="1" applyFill="1" applyBorder="1" applyAlignment="1">
      <alignment vertical="center"/>
    </xf>
    <xf numFmtId="0" fontId="47" fillId="4" borderId="76" xfId="6" applyFont="1" applyFill="1" applyBorder="1" applyAlignment="1">
      <alignment vertical="center"/>
    </xf>
    <xf numFmtId="16" fontId="47" fillId="4" borderId="77" xfId="6" applyNumberFormat="1" applyFont="1" applyFill="1" applyBorder="1" applyAlignment="1">
      <alignment vertical="center"/>
    </xf>
    <xf numFmtId="0" fontId="46" fillId="0" borderId="76" xfId="6" applyFont="1" applyBorder="1" applyAlignment="1">
      <alignment vertical="center"/>
    </xf>
    <xf numFmtId="0" fontId="46" fillId="0" borderId="81" xfId="6" applyFont="1" applyBorder="1" applyAlignment="1">
      <alignment vertical="center"/>
    </xf>
    <xf numFmtId="0" fontId="46" fillId="0" borderId="20" xfId="6" applyFont="1" applyBorder="1" applyAlignment="1">
      <alignment vertical="center"/>
    </xf>
    <xf numFmtId="0" fontId="47" fillId="0" borderId="77" xfId="6" applyFont="1" applyFill="1" applyBorder="1" applyAlignment="1">
      <alignment vertical="center"/>
    </xf>
    <xf numFmtId="16" fontId="51" fillId="4" borderId="20" xfId="6" applyNumberFormat="1" applyFont="1" applyFill="1" applyBorder="1" applyAlignment="1">
      <alignment vertical="center"/>
    </xf>
    <xf numFmtId="168" fontId="47" fillId="4" borderId="14" xfId="0" applyNumberFormat="1" applyFont="1" applyFill="1" applyBorder="1" applyAlignment="1">
      <alignment vertical="center"/>
    </xf>
    <xf numFmtId="16" fontId="51" fillId="4" borderId="24" xfId="6" applyNumberFormat="1" applyFont="1" applyFill="1" applyBorder="1" applyAlignment="1">
      <alignment vertical="center"/>
    </xf>
    <xf numFmtId="16" fontId="47" fillId="4" borderId="74" xfId="6" applyNumberFormat="1" applyFont="1" applyFill="1" applyBorder="1" applyAlignment="1">
      <alignment vertical="center"/>
    </xf>
    <xf numFmtId="16" fontId="47" fillId="4" borderId="55" xfId="6" applyNumberFormat="1" applyFont="1" applyFill="1" applyBorder="1" applyAlignment="1">
      <alignment vertical="center"/>
    </xf>
    <xf numFmtId="16" fontId="51" fillId="4" borderId="5" xfId="6" applyNumberFormat="1" applyFont="1" applyFill="1" applyBorder="1" applyAlignment="1">
      <alignment vertical="center"/>
    </xf>
    <xf numFmtId="170" fontId="47" fillId="8" borderId="14" xfId="0" applyNumberFormat="1" applyFont="1" applyFill="1" applyBorder="1" applyAlignment="1">
      <alignment vertical="center"/>
    </xf>
    <xf numFmtId="170" fontId="47" fillId="8" borderId="28" xfId="0" applyNumberFormat="1" applyFont="1" applyFill="1" applyBorder="1" applyAlignment="1">
      <alignment vertical="center"/>
    </xf>
    <xf numFmtId="16" fontId="47" fillId="4" borderId="53" xfId="6" applyNumberFormat="1" applyFont="1" applyFill="1" applyBorder="1" applyAlignment="1">
      <alignment vertical="center"/>
    </xf>
    <xf numFmtId="0" fontId="46" fillId="0" borderId="11" xfId="6" applyFont="1" applyBorder="1" applyAlignment="1">
      <alignment vertical="center"/>
    </xf>
    <xf numFmtId="170" fontId="47" fillId="8" borderId="76" xfId="0" applyNumberFormat="1" applyFont="1" applyFill="1" applyBorder="1" applyAlignment="1">
      <alignment vertical="center"/>
    </xf>
    <xf numFmtId="170" fontId="47" fillId="8" borderId="76" xfId="0" applyNumberFormat="1" applyFont="1" applyFill="1" applyBorder="1" applyAlignment="1">
      <alignment horizontal="center" vertical="center"/>
    </xf>
    <xf numFmtId="0" fontId="46" fillId="0" borderId="28" xfId="6" applyFont="1" applyBorder="1" applyAlignment="1">
      <alignment vertical="center"/>
    </xf>
    <xf numFmtId="0" fontId="61" fillId="0" borderId="77" xfId="0" applyFont="1" applyBorder="1" applyAlignment="1">
      <alignment horizontal="center" vertical="center"/>
    </xf>
    <xf numFmtId="170" fontId="47" fillId="8" borderId="0" xfId="0" applyNumberFormat="1" applyFont="1" applyFill="1" applyBorder="1" applyAlignment="1">
      <alignment horizontal="center" vertical="center"/>
    </xf>
    <xf numFmtId="16" fontId="47" fillId="4" borderId="16" xfId="6" applyNumberFormat="1" applyFont="1" applyFill="1" applyBorder="1" applyAlignment="1">
      <alignment vertical="center"/>
    </xf>
    <xf numFmtId="170" fontId="47" fillId="8" borderId="50" xfId="0" applyNumberFormat="1" applyFont="1" applyFill="1" applyBorder="1" applyAlignment="1">
      <alignment horizontal="center" vertical="center"/>
    </xf>
    <xf numFmtId="0" fontId="47" fillId="4" borderId="77" xfId="6" applyFont="1" applyFill="1" applyBorder="1" applyAlignment="1">
      <alignment vertical="center"/>
    </xf>
    <xf numFmtId="170" fontId="47" fillId="8" borderId="77" xfId="0" applyNumberFormat="1" applyFont="1" applyFill="1" applyBorder="1" applyAlignment="1">
      <alignment vertical="center"/>
    </xf>
    <xf numFmtId="170" fontId="47" fillId="8" borderId="77" xfId="0" applyNumberFormat="1" applyFont="1" applyFill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165" fontId="49" fillId="7" borderId="43" xfId="0" applyNumberFormat="1" applyFont="1" applyFill="1" applyBorder="1" applyAlignment="1">
      <alignment vertical="center"/>
    </xf>
    <xf numFmtId="165" fontId="49" fillId="7" borderId="48" xfId="0" applyNumberFormat="1" applyFont="1" applyFill="1" applyBorder="1" applyAlignment="1">
      <alignment vertical="center"/>
    </xf>
    <xf numFmtId="0" fontId="46" fillId="0" borderId="20" xfId="6" applyFont="1" applyBorder="1" applyAlignment="1">
      <alignment horizontal="center" vertical="center"/>
    </xf>
    <xf numFmtId="170" fontId="47" fillId="8" borderId="16" xfId="0" applyNumberFormat="1" applyFont="1" applyFill="1" applyBorder="1" applyAlignment="1">
      <alignment vertical="center"/>
    </xf>
    <xf numFmtId="0" fontId="51" fillId="4" borderId="81" xfId="0" applyFont="1" applyFill="1" applyBorder="1" applyAlignment="1">
      <alignment horizontal="center" vertical="center"/>
    </xf>
    <xf numFmtId="0" fontId="61" fillId="0" borderId="82" xfId="0" applyFont="1" applyBorder="1" applyAlignment="1">
      <alignment horizontal="center" vertical="center"/>
    </xf>
    <xf numFmtId="0" fontId="51" fillId="4" borderId="80" xfId="0" applyFont="1" applyFill="1" applyBorder="1" applyAlignment="1">
      <alignment horizontal="center" vertical="center"/>
    </xf>
    <xf numFmtId="0" fontId="51" fillId="0" borderId="2" xfId="6" applyFont="1" applyBorder="1" applyAlignment="1">
      <alignment horizontal="center" vertical="center"/>
    </xf>
    <xf numFmtId="16" fontId="47" fillId="4" borderId="21" xfId="6" applyNumberFormat="1" applyFont="1" applyFill="1" applyBorder="1" applyAlignment="1">
      <alignment vertical="center"/>
    </xf>
    <xf numFmtId="16" fontId="47" fillId="4" borderId="83" xfId="6" applyNumberFormat="1" applyFont="1" applyFill="1" applyBorder="1" applyAlignment="1">
      <alignment vertical="center"/>
    </xf>
    <xf numFmtId="0" fontId="46" fillId="4" borderId="88" xfId="0" applyFont="1" applyFill="1" applyBorder="1" applyAlignment="1">
      <alignment horizontal="center" vertical="center"/>
    </xf>
    <xf numFmtId="0" fontId="46" fillId="0" borderId="89" xfId="6" applyFont="1" applyBorder="1" applyAlignment="1">
      <alignment horizontal="center" vertical="center"/>
    </xf>
    <xf numFmtId="0" fontId="46" fillId="4" borderId="90" xfId="0" applyFont="1" applyFill="1" applyBorder="1" applyAlignment="1">
      <alignment horizontal="center" vertical="center"/>
    </xf>
    <xf numFmtId="0" fontId="46" fillId="0" borderId="91" xfId="6" applyFont="1" applyBorder="1" applyAlignment="1">
      <alignment horizontal="center" vertical="center"/>
    </xf>
    <xf numFmtId="16" fontId="47" fillId="4" borderId="64" xfId="6" applyNumberFormat="1" applyFont="1" applyFill="1" applyBorder="1" applyAlignment="1">
      <alignment vertical="center"/>
    </xf>
    <xf numFmtId="0" fontId="46" fillId="0" borderId="12" xfId="6" applyFont="1" applyBorder="1" applyAlignment="1">
      <alignment horizontal="center" vertical="center"/>
    </xf>
    <xf numFmtId="0" fontId="46" fillId="0" borderId="70" xfId="6" applyFont="1" applyBorder="1" applyAlignment="1">
      <alignment horizontal="center" vertical="center"/>
    </xf>
    <xf numFmtId="168" fontId="47" fillId="4" borderId="77" xfId="0" applyNumberFormat="1" applyFont="1" applyFill="1" applyBorder="1" applyAlignment="1">
      <alignment vertical="center"/>
    </xf>
    <xf numFmtId="16" fontId="51" fillId="4" borderId="80" xfId="6" applyNumberFormat="1" applyFont="1" applyFill="1" applyBorder="1" applyAlignment="1">
      <alignment vertical="center"/>
    </xf>
    <xf numFmtId="0" fontId="46" fillId="0" borderId="14" xfId="6" applyFont="1" applyBorder="1" applyAlignment="1">
      <alignment vertical="center"/>
    </xf>
    <xf numFmtId="0" fontId="46" fillId="0" borderId="82" xfId="0" applyFont="1" applyBorder="1" applyAlignment="1">
      <alignment horizontal="center" vertical="center"/>
    </xf>
    <xf numFmtId="1" fontId="46" fillId="0" borderId="43" xfId="0" applyNumberFormat="1" applyFont="1" applyFill="1" applyBorder="1" applyAlignment="1">
      <alignment vertical="center"/>
    </xf>
    <xf numFmtId="1" fontId="46" fillId="0" borderId="48" xfId="0" applyNumberFormat="1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16" fontId="47" fillId="0" borderId="28" xfId="0" applyNumberFormat="1" applyFont="1" applyFill="1" applyBorder="1" applyAlignment="1">
      <alignment vertical="center"/>
    </xf>
    <xf numFmtId="16" fontId="51" fillId="0" borderId="28" xfId="0" applyNumberFormat="1" applyFont="1" applyFill="1" applyBorder="1" applyAlignment="1">
      <alignment vertical="center"/>
    </xf>
    <xf numFmtId="0" fontId="46" fillId="4" borderId="79" xfId="0" applyFont="1" applyFill="1" applyBorder="1" applyAlignment="1">
      <alignment horizontal="center" vertical="center"/>
    </xf>
    <xf numFmtId="171" fontId="12" fillId="0" borderId="82" xfId="0" applyNumberFormat="1" applyFont="1" applyFill="1" applyBorder="1" applyAlignment="1">
      <alignment horizontal="center" vertical="center"/>
    </xf>
    <xf numFmtId="171" fontId="12" fillId="0" borderId="84" xfId="0" applyNumberFormat="1" applyFont="1" applyFill="1" applyBorder="1" applyAlignment="1">
      <alignment horizontal="center" vertical="center"/>
    </xf>
    <xf numFmtId="0" fontId="49" fillId="7" borderId="52" xfId="0" applyFont="1" applyFill="1" applyBorder="1" applyAlignment="1">
      <alignment vertical="center"/>
    </xf>
    <xf numFmtId="0" fontId="46" fillId="4" borderId="82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0" fontId="46" fillId="4" borderId="41" xfId="0" applyFont="1" applyFill="1" applyBorder="1" applyAlignment="1">
      <alignment horizontal="center" vertical="center"/>
    </xf>
    <xf numFmtId="0" fontId="46" fillId="0" borderId="82" xfId="6" applyFont="1" applyBorder="1" applyAlignment="1">
      <alignment horizontal="center" vertical="center"/>
    </xf>
    <xf numFmtId="0" fontId="46" fillId="4" borderId="11" xfId="0" applyFont="1" applyFill="1" applyBorder="1" applyAlignment="1">
      <alignment vertical="center"/>
    </xf>
    <xf numFmtId="0" fontId="56" fillId="4" borderId="26" xfId="7" applyFont="1" applyFill="1" applyBorder="1" applyAlignment="1">
      <alignment vertical="center"/>
    </xf>
    <xf numFmtId="16" fontId="47" fillId="4" borderId="28" xfId="7" applyNumberFormat="1" applyFont="1" applyFill="1" applyBorder="1" applyAlignment="1">
      <alignment vertical="center"/>
    </xf>
    <xf numFmtId="16" fontId="47" fillId="4" borderId="21" xfId="7" applyNumberFormat="1" applyFont="1" applyFill="1" applyBorder="1" applyAlignment="1">
      <alignment vertical="center"/>
    </xf>
    <xf numFmtId="16" fontId="47" fillId="4" borderId="2" xfId="7" applyNumberFormat="1" applyFont="1" applyFill="1" applyBorder="1" applyAlignment="1">
      <alignment vertical="center"/>
    </xf>
    <xf numFmtId="16" fontId="47" fillId="4" borderId="3" xfId="7" applyNumberFormat="1" applyFont="1" applyFill="1" applyBorder="1" applyAlignment="1">
      <alignment vertical="center"/>
    </xf>
    <xf numFmtId="16" fontId="47" fillId="4" borderId="4" xfId="7" applyNumberFormat="1" applyFont="1" applyFill="1" applyBorder="1" applyAlignment="1">
      <alignment vertical="center"/>
    </xf>
    <xf numFmtId="0" fontId="56" fillId="4" borderId="28" xfId="7" applyFont="1" applyFill="1" applyBorder="1" applyAlignment="1">
      <alignment vertical="center"/>
    </xf>
    <xf numFmtId="16" fontId="47" fillId="4" borderId="76" xfId="7" applyNumberFormat="1" applyFont="1" applyFill="1" applyBorder="1" applyAlignment="1">
      <alignment vertical="center"/>
    </xf>
    <xf numFmtId="16" fontId="47" fillId="4" borderId="81" xfId="7" applyNumberFormat="1" applyFont="1" applyFill="1" applyBorder="1" applyAlignment="1">
      <alignment vertical="center"/>
    </xf>
    <xf numFmtId="16" fontId="47" fillId="4" borderId="78" xfId="7" applyNumberFormat="1" applyFont="1" applyFill="1" applyBorder="1" applyAlignment="1">
      <alignment vertical="center"/>
    </xf>
    <xf numFmtId="0" fontId="46" fillId="4" borderId="14" xfId="7" applyFont="1" applyFill="1" applyBorder="1" applyAlignment="1">
      <alignment vertical="center"/>
    </xf>
    <xf numFmtId="16" fontId="47" fillId="4" borderId="23" xfId="7" applyNumberFormat="1" applyFont="1" applyFill="1" applyBorder="1" applyAlignment="1">
      <alignment vertical="center"/>
    </xf>
    <xf numFmtId="0" fontId="47" fillId="4" borderId="26" xfId="7" applyFont="1" applyFill="1" applyBorder="1" applyAlignment="1">
      <alignment vertical="center"/>
    </xf>
    <xf numFmtId="0" fontId="47" fillId="4" borderId="28" xfId="7" applyFont="1" applyFill="1" applyBorder="1" applyAlignment="1">
      <alignment vertical="center"/>
    </xf>
    <xf numFmtId="0" fontId="46" fillId="4" borderId="24" xfId="0" applyFont="1" applyFill="1" applyBorder="1" applyAlignment="1">
      <alignment vertical="center"/>
    </xf>
    <xf numFmtId="0" fontId="56" fillId="4" borderId="14" xfId="7" applyFont="1" applyFill="1" applyBorder="1" applyAlignment="1">
      <alignment vertical="center"/>
    </xf>
    <xf numFmtId="0" fontId="46" fillId="4" borderId="16" xfId="7" applyFont="1" applyFill="1" applyBorder="1" applyAlignment="1">
      <alignment vertical="center"/>
    </xf>
    <xf numFmtId="16" fontId="51" fillId="0" borderId="28" xfId="0" applyNumberFormat="1" applyFont="1" applyBorder="1" applyAlignment="1">
      <alignment vertical="center"/>
    </xf>
    <xf numFmtId="16" fontId="46" fillId="0" borderId="76" xfId="0" applyNumberFormat="1" applyFont="1" applyBorder="1" applyAlignment="1">
      <alignment vertical="center"/>
    </xf>
    <xf numFmtId="0" fontId="46" fillId="4" borderId="55" xfId="7" applyFont="1" applyFill="1" applyBorder="1" applyAlignment="1">
      <alignment horizontal="center" vertical="center"/>
    </xf>
    <xf numFmtId="0" fontId="47" fillId="4" borderId="16" xfId="7" applyFont="1" applyFill="1" applyBorder="1" applyAlignment="1">
      <alignment vertical="center"/>
    </xf>
    <xf numFmtId="0" fontId="56" fillId="4" borderId="16" xfId="7" applyFont="1" applyFill="1" applyBorder="1" applyAlignment="1">
      <alignment vertical="center"/>
    </xf>
    <xf numFmtId="0" fontId="56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7" fillId="4" borderId="76" xfId="7" applyFont="1" applyFill="1" applyBorder="1" applyAlignment="1">
      <alignment vertical="center"/>
    </xf>
    <xf numFmtId="0" fontId="49" fillId="7" borderId="34" xfId="7" applyFont="1" applyFill="1" applyBorder="1" applyAlignment="1">
      <alignment vertical="center"/>
    </xf>
    <xf numFmtId="0" fontId="49" fillId="7" borderId="33" xfId="7" applyFont="1" applyFill="1" applyBorder="1" applyAlignment="1">
      <alignment vertical="center"/>
    </xf>
    <xf numFmtId="16" fontId="51" fillId="0" borderId="76" xfId="0" applyNumberFormat="1" applyFont="1" applyBorder="1" applyAlignment="1">
      <alignment vertical="center"/>
    </xf>
    <xf numFmtId="16" fontId="46" fillId="0" borderId="28" xfId="0" applyNumberFormat="1" applyFont="1" applyBorder="1" applyAlignment="1">
      <alignment vertical="center"/>
    </xf>
    <xf numFmtId="0" fontId="46" fillId="4" borderId="76" xfId="7" applyFont="1" applyFill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6" fillId="4" borderId="92" xfId="7" applyFont="1" applyFill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53" fillId="4" borderId="76" xfId="0" applyFont="1" applyFill="1" applyBorder="1" applyAlignment="1">
      <alignment horizontal="center" vertical="center"/>
    </xf>
    <xf numFmtId="0" fontId="53" fillId="0" borderId="76" xfId="0" applyFont="1" applyFill="1" applyBorder="1" applyAlignment="1">
      <alignment horizontal="center" vertical="center"/>
    </xf>
    <xf numFmtId="0" fontId="53" fillId="4" borderId="76" xfId="7" applyFont="1" applyFill="1" applyBorder="1" applyAlignment="1">
      <alignment horizontal="center" vertical="center"/>
    </xf>
    <xf numFmtId="0" fontId="53" fillId="4" borderId="77" xfId="7" applyFont="1" applyFill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 wrapText="1"/>
    </xf>
    <xf numFmtId="0" fontId="46" fillId="4" borderId="56" xfId="0" applyFont="1" applyFill="1" applyBorder="1" applyAlignment="1">
      <alignment horizontal="center" vertical="center" wrapText="1"/>
    </xf>
    <xf numFmtId="16" fontId="56" fillId="4" borderId="76" xfId="7" applyNumberFormat="1" applyFont="1" applyFill="1" applyBorder="1" applyAlignment="1">
      <alignment vertical="center"/>
    </xf>
    <xf numFmtId="0" fontId="53" fillId="0" borderId="76" xfId="7" applyFont="1" applyFill="1" applyBorder="1" applyAlignment="1">
      <alignment horizontal="center" vertical="center"/>
    </xf>
    <xf numFmtId="16" fontId="53" fillId="0" borderId="76" xfId="7" applyNumberFormat="1" applyFont="1" applyFill="1" applyBorder="1" applyAlignment="1">
      <alignment horizontal="center" vertical="center"/>
    </xf>
    <xf numFmtId="16" fontId="47" fillId="0" borderId="76" xfId="7" applyNumberFormat="1" applyFont="1" applyFill="1" applyBorder="1" applyAlignment="1">
      <alignment horizontal="center" vertical="center"/>
    </xf>
    <xf numFmtId="0" fontId="47" fillId="0" borderId="76" xfId="7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56" fillId="0" borderId="76" xfId="7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vertical="center"/>
    </xf>
    <xf numFmtId="0" fontId="46" fillId="0" borderId="80" xfId="0" applyFont="1" applyBorder="1" applyAlignment="1">
      <alignment horizontal="center" vertical="center"/>
    </xf>
    <xf numFmtId="0" fontId="46" fillId="0" borderId="92" xfId="7" applyFont="1" applyBorder="1" applyAlignment="1">
      <alignment horizontal="center" vertical="center"/>
    </xf>
    <xf numFmtId="16" fontId="46" fillId="0" borderId="28" xfId="7" applyNumberFormat="1" applyFont="1" applyBorder="1" applyAlignment="1">
      <alignment vertical="center"/>
    </xf>
    <xf numFmtId="0" fontId="46" fillId="0" borderId="84" xfId="0" applyFont="1" applyBorder="1" applyAlignment="1">
      <alignment horizontal="center" vertical="center"/>
    </xf>
    <xf numFmtId="0" fontId="46" fillId="0" borderId="82" xfId="7" applyFont="1" applyBorder="1" applyAlignment="1">
      <alignment horizontal="center" vertical="center"/>
    </xf>
    <xf numFmtId="0" fontId="46" fillId="0" borderId="84" xfId="7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vertical="center"/>
    </xf>
    <xf numFmtId="0" fontId="47" fillId="0" borderId="76" xfId="7" applyFont="1" applyBorder="1" applyAlignment="1">
      <alignment horizontal="center" vertical="center"/>
    </xf>
    <xf numFmtId="0" fontId="46" fillId="0" borderId="87" xfId="0" applyFont="1" applyBorder="1"/>
    <xf numFmtId="0" fontId="49" fillId="7" borderId="43" xfId="7" applyFont="1" applyFill="1" applyBorder="1" applyAlignment="1">
      <alignment vertical="center"/>
    </xf>
    <xf numFmtId="0" fontId="53" fillId="0" borderId="51" xfId="0" applyFont="1" applyBorder="1" applyAlignment="1">
      <alignment vertical="center"/>
    </xf>
    <xf numFmtId="16" fontId="47" fillId="0" borderId="28" xfId="7" applyNumberFormat="1" applyFont="1" applyBorder="1" applyAlignment="1">
      <alignment vertical="center"/>
    </xf>
    <xf numFmtId="16" fontId="47" fillId="0" borderId="28" xfId="7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left" vertical="center"/>
    </xf>
    <xf numFmtId="16" fontId="47" fillId="0" borderId="76" xfId="7" applyNumberFormat="1" applyFont="1" applyBorder="1" applyAlignment="1">
      <alignment vertical="center"/>
    </xf>
    <xf numFmtId="16" fontId="47" fillId="0" borderId="76" xfId="7" applyNumberFormat="1" applyFont="1" applyFill="1" applyBorder="1" applyAlignment="1">
      <alignment vertical="center"/>
    </xf>
    <xf numFmtId="0" fontId="46" fillId="0" borderId="78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/>
    </xf>
    <xf numFmtId="0" fontId="50" fillId="4" borderId="76" xfId="0" quotePrefix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left" vertical="center"/>
    </xf>
    <xf numFmtId="169" fontId="46" fillId="4" borderId="23" xfId="1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left" vertical="center"/>
    </xf>
    <xf numFmtId="0" fontId="46" fillId="4" borderId="69" xfId="0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vertical="center"/>
    </xf>
    <xf numFmtId="0" fontId="47" fillId="4" borderId="69" xfId="0" applyFont="1" applyFill="1" applyBorder="1" applyAlignment="1">
      <alignment vertical="center"/>
    </xf>
    <xf numFmtId="166" fontId="46" fillId="4" borderId="76" xfId="0" applyNumberFormat="1" applyFont="1" applyFill="1" applyBorder="1" applyAlignment="1">
      <alignment horizontal="left" vertical="center"/>
    </xf>
    <xf numFmtId="165" fontId="49" fillId="7" borderId="42" xfId="0" applyNumberFormat="1" applyFont="1" applyFill="1" applyBorder="1" applyAlignment="1">
      <alignment vertical="center"/>
    </xf>
    <xf numFmtId="16" fontId="47" fillId="4" borderId="3" xfId="6" applyNumberFormat="1" applyFont="1" applyFill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78" xfId="0" applyFont="1" applyBorder="1" applyAlignment="1">
      <alignment vertical="center"/>
    </xf>
    <xf numFmtId="0" fontId="46" fillId="0" borderId="79" xfId="0" applyFont="1" applyBorder="1" applyAlignment="1">
      <alignment vertical="center"/>
    </xf>
    <xf numFmtId="16" fontId="46" fillId="0" borderId="4" xfId="0" applyNumberFormat="1" applyFont="1" applyBorder="1" applyAlignment="1">
      <alignment vertical="center"/>
    </xf>
    <xf numFmtId="16" fontId="46" fillId="0" borderId="78" xfId="0" applyNumberFormat="1" applyFont="1" applyBorder="1" applyAlignment="1">
      <alignment vertical="center"/>
    </xf>
    <xf numFmtId="16" fontId="46" fillId="0" borderId="79" xfId="0" applyNumberFormat="1" applyFont="1" applyBorder="1" applyAlignment="1">
      <alignment vertical="center"/>
    </xf>
    <xf numFmtId="16" fontId="46" fillId="0" borderId="3" xfId="0" applyNumberFormat="1" applyFont="1" applyBorder="1" applyAlignment="1">
      <alignment vertical="center"/>
    </xf>
    <xf numFmtId="16" fontId="46" fillId="0" borderId="77" xfId="0" applyNumberFormat="1" applyFont="1" applyBorder="1" applyAlignment="1">
      <alignment vertical="center"/>
    </xf>
    <xf numFmtId="16" fontId="46" fillId="0" borderId="15" xfId="0" applyNumberFormat="1" applyFont="1" applyBorder="1" applyAlignment="1">
      <alignment vertical="center"/>
    </xf>
    <xf numFmtId="0" fontId="14" fillId="0" borderId="76" xfId="0" applyFont="1" applyFill="1" applyBorder="1" applyAlignment="1">
      <alignment horizontal="center"/>
    </xf>
    <xf numFmtId="0" fontId="85" fillId="0" borderId="76" xfId="0" applyFont="1" applyFill="1" applyBorder="1" applyAlignment="1">
      <alignment horizontal="center"/>
    </xf>
    <xf numFmtId="16" fontId="47" fillId="4" borderId="28" xfId="0" applyNumberFormat="1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left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46" fillId="0" borderId="3" xfId="6" applyFont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9" fillId="7" borderId="49" xfId="0" applyFont="1" applyFill="1" applyBorder="1" applyAlignment="1">
      <alignment vertical="center"/>
    </xf>
    <xf numFmtId="0" fontId="47" fillId="8" borderId="6" xfId="0" applyNumberFormat="1" applyFont="1" applyFill="1" applyBorder="1" applyAlignment="1">
      <alignment horizontal="center" vertical="center"/>
    </xf>
    <xf numFmtId="0" fontId="47" fillId="4" borderId="24" xfId="0" applyFont="1" applyFill="1" applyBorder="1" applyAlignment="1">
      <alignment vertical="center"/>
    </xf>
    <xf numFmtId="0" fontId="46" fillId="4" borderId="43" xfId="0" applyFont="1" applyFill="1" applyBorder="1" applyAlignment="1">
      <alignment horizontal="left"/>
    </xf>
    <xf numFmtId="0" fontId="46" fillId="4" borderId="43" xfId="0" applyFont="1" applyFill="1" applyBorder="1" applyAlignment="1">
      <alignment horizontal="center"/>
    </xf>
    <xf numFmtId="0" fontId="46" fillId="4" borderId="43" xfId="0" applyFont="1" applyFill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19" xfId="2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8" fillId="0" borderId="11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14" fillId="0" borderId="5" xfId="10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0" fontId="16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7" fillId="0" borderId="0" xfId="0" applyFont="1" applyAlignment="1">
      <alignment horizontal="center"/>
    </xf>
    <xf numFmtId="0" fontId="3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76" xfId="13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16" fontId="51" fillId="4" borderId="11" xfId="6" applyNumberFormat="1" applyFont="1" applyFill="1" applyBorder="1" applyAlignment="1">
      <alignment vertical="center"/>
    </xf>
    <xf numFmtId="16" fontId="47" fillId="4" borderId="93" xfId="6" applyNumberFormat="1" applyFont="1" applyFill="1" applyBorder="1" applyAlignment="1">
      <alignment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88" xfId="0" applyFont="1" applyFill="1" applyBorder="1" applyAlignment="1">
      <alignment horizontal="center" vertical="center"/>
    </xf>
    <xf numFmtId="0" fontId="51" fillId="4" borderId="90" xfId="0" applyFont="1" applyFill="1" applyBorder="1" applyAlignment="1">
      <alignment horizontal="center" vertical="center"/>
    </xf>
    <xf numFmtId="16" fontId="47" fillId="4" borderId="24" xfId="6" applyNumberFormat="1" applyFont="1" applyFill="1" applyBorder="1" applyAlignment="1">
      <alignment vertical="center"/>
    </xf>
    <xf numFmtId="0" fontId="46" fillId="0" borderId="43" xfId="6" applyFont="1" applyBorder="1" applyAlignment="1">
      <alignment horizontal="left" vertical="center"/>
    </xf>
    <xf numFmtId="0" fontId="56" fillId="0" borderId="43" xfId="6" applyFont="1" applyFill="1" applyBorder="1" applyAlignment="1">
      <alignment horizontal="center" vertical="center"/>
    </xf>
    <xf numFmtId="0" fontId="47" fillId="0" borderId="43" xfId="6" applyFont="1" applyBorder="1" applyAlignment="1">
      <alignment horizontal="center" vertical="center"/>
    </xf>
    <xf numFmtId="168" fontId="46" fillId="0" borderId="43" xfId="0" applyNumberFormat="1" applyFont="1" applyBorder="1" applyAlignment="1">
      <alignment horizontal="center" vertical="center"/>
    </xf>
    <xf numFmtId="170" fontId="47" fillId="0" borderId="43" xfId="0" applyNumberFormat="1" applyFont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" fontId="46" fillId="0" borderId="43" xfId="6" applyNumberFormat="1" applyFont="1" applyBorder="1" applyAlignment="1">
      <alignment horizontal="center" vertical="center"/>
    </xf>
    <xf numFmtId="0" fontId="46" fillId="0" borderId="51" xfId="0" applyFont="1" applyBorder="1" applyAlignment="1">
      <alignment vertical="center"/>
    </xf>
    <xf numFmtId="0" fontId="86" fillId="0" borderId="0" xfId="0" applyFont="1"/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14" xfId="0" applyFont="1" applyBorder="1" applyAlignment="1">
      <alignment vertical="center"/>
    </xf>
    <xf numFmtId="0" fontId="47" fillId="0" borderId="14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horizontal="center" vertical="center"/>
    </xf>
    <xf numFmtId="16" fontId="47" fillId="0" borderId="76" xfId="0" applyNumberFormat="1" applyFont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165" fontId="88" fillId="7" borderId="43" xfId="0" applyNumberFormat="1" applyFont="1" applyFill="1" applyBorder="1" applyAlignment="1">
      <alignment vertical="center"/>
    </xf>
    <xf numFmtId="165" fontId="88" fillId="7" borderId="43" xfId="0" applyNumberFormat="1" applyFont="1" applyFill="1" applyBorder="1" applyAlignment="1">
      <alignment horizontal="left" vertical="center"/>
    </xf>
    <xf numFmtId="165" fontId="88" fillId="7" borderId="48" xfId="0" applyNumberFormat="1" applyFont="1" applyFill="1" applyBorder="1" applyAlignment="1">
      <alignment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79" xfId="7" applyFont="1" applyBorder="1" applyAlignment="1">
      <alignment horizontal="center" vertical="center"/>
    </xf>
    <xf numFmtId="16" fontId="51" fillId="4" borderId="28" xfId="7" applyNumberFormat="1" applyFont="1" applyFill="1" applyBorder="1" applyAlignment="1">
      <alignment vertical="center"/>
    </xf>
    <xf numFmtId="16" fontId="51" fillId="4" borderId="76" xfId="7" applyNumberFormat="1" applyFont="1" applyFill="1" applyBorder="1" applyAlignment="1">
      <alignment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51" fillId="8" borderId="6" xfId="0" applyNumberFormat="1" applyFont="1" applyFill="1" applyBorder="1" applyAlignment="1">
      <alignment horizontal="center" vertical="center"/>
    </xf>
    <xf numFmtId="0" fontId="51" fillId="8" borderId="6" xfId="0" quotePrefix="1" applyNumberFormat="1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8" borderId="76" xfId="0" quotePrefix="1" applyNumberFormat="1" applyFont="1" applyFill="1" applyBorder="1" applyAlignment="1">
      <alignment vertical="center"/>
    </xf>
    <xf numFmtId="16" fontId="51" fillId="4" borderId="6" xfId="0" applyNumberFormat="1" applyFont="1" applyFill="1" applyBorder="1" applyAlignment="1">
      <alignment vertical="center"/>
    </xf>
    <xf numFmtId="16" fontId="51" fillId="4" borderId="7" xfId="0" applyNumberFormat="1" applyFont="1" applyFill="1" applyBorder="1" applyAlignment="1">
      <alignment vertical="center"/>
    </xf>
    <xf numFmtId="16" fontId="51" fillId="4" borderId="5" xfId="0" applyNumberFormat="1" applyFont="1" applyFill="1" applyBorder="1" applyAlignment="1">
      <alignment vertical="center"/>
    </xf>
    <xf numFmtId="0" fontId="47" fillId="4" borderId="28" xfId="0" applyFont="1" applyFill="1" applyBorder="1" applyAlignment="1">
      <alignment horizontal="center" vertical="center"/>
    </xf>
    <xf numFmtId="0" fontId="89" fillId="0" borderId="94" xfId="14" applyBorder="1">
      <alignment vertical="center"/>
    </xf>
    <xf numFmtId="0" fontId="89" fillId="0" borderId="16" xfId="14" applyBorder="1">
      <alignment vertical="center"/>
    </xf>
    <xf numFmtId="0" fontId="89" fillId="0" borderId="28" xfId="14" applyBorder="1">
      <alignment vertical="center"/>
    </xf>
    <xf numFmtId="0" fontId="49" fillId="7" borderId="43" xfId="0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6" fillId="0" borderId="28" xfId="6" applyFont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90" fillId="0" borderId="76" xfId="0" applyFont="1" applyBorder="1" applyAlignment="1">
      <alignment horizontal="left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7" fillId="4" borderId="2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4" borderId="79" xfId="0" applyFont="1" applyFill="1" applyBorder="1" applyAlignment="1">
      <alignment horizontal="center" vertical="center"/>
    </xf>
    <xf numFmtId="0" fontId="47" fillId="4" borderId="76" xfId="7" applyFont="1" applyFill="1" applyBorder="1" applyAlignment="1">
      <alignment horizontal="center" vertical="center"/>
    </xf>
    <xf numFmtId="16" fontId="51" fillId="4" borderId="76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vertical="center"/>
    </xf>
    <xf numFmtId="0" fontId="47" fillId="4" borderId="6" xfId="0" applyFont="1" applyFill="1" applyBorder="1" applyAlignment="1">
      <alignment horizontal="center" vertical="center"/>
    </xf>
    <xf numFmtId="16" fontId="47" fillId="4" borderId="6" xfId="0" applyNumberFormat="1" applyFont="1" applyFill="1" applyBorder="1" applyAlignment="1">
      <alignment horizontal="center" vertical="center"/>
    </xf>
    <xf numFmtId="16" fontId="51" fillId="4" borderId="6" xfId="0" applyNumberFormat="1" applyFont="1" applyFill="1" applyBorder="1" applyAlignment="1">
      <alignment horizontal="center" vertical="center"/>
    </xf>
    <xf numFmtId="16" fontId="47" fillId="4" borderId="5" xfId="0" applyNumberFormat="1" applyFont="1" applyFill="1" applyBorder="1" applyAlignment="1">
      <alignment horizontal="center" vertical="center"/>
    </xf>
    <xf numFmtId="16" fontId="47" fillId="4" borderId="7" xfId="0" applyNumberFormat="1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7" fillId="4" borderId="26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left" vertical="center"/>
    </xf>
    <xf numFmtId="0" fontId="47" fillId="4" borderId="9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16" fontId="47" fillId="4" borderId="23" xfId="0" applyNumberFormat="1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6" fontId="47" fillId="4" borderId="20" xfId="0" applyNumberFormat="1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7" fillId="4" borderId="3" xfId="0" applyNumberFormat="1" applyFont="1" applyFill="1" applyBorder="1" applyAlignment="1">
      <alignment horizontal="center" vertical="center"/>
    </xf>
    <xf numFmtId="16" fontId="47" fillId="4" borderId="4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 wrapText="1"/>
    </xf>
    <xf numFmtId="16" fontId="47" fillId="4" borderId="22" xfId="0" applyNumberFormat="1" applyFont="1" applyFill="1" applyBorder="1" applyAlignment="1">
      <alignment horizontal="center" vertical="center"/>
    </xf>
    <xf numFmtId="0" fontId="47" fillId="4" borderId="17" xfId="6" applyFont="1" applyFill="1" applyBorder="1" applyAlignment="1">
      <alignment vertical="center"/>
    </xf>
    <xf numFmtId="16" fontId="53" fillId="4" borderId="76" xfId="0" applyNumberFormat="1" applyFont="1" applyFill="1" applyBorder="1" applyAlignment="1">
      <alignment horizontal="center" vertical="center"/>
    </xf>
    <xf numFmtId="0" fontId="47" fillId="4" borderId="76" xfId="0" quotePrefix="1" applyFont="1" applyFill="1" applyBorder="1" applyAlignment="1">
      <alignment horizontal="left" vertical="center"/>
    </xf>
    <xf numFmtId="0" fontId="45" fillId="4" borderId="42" xfId="0" applyFont="1" applyFill="1" applyBorder="1" applyAlignment="1">
      <alignment vertical="center"/>
    </xf>
    <xf numFmtId="0" fontId="46" fillId="4" borderId="19" xfId="0" applyFont="1" applyFill="1" applyBorder="1" applyAlignment="1">
      <alignment horizontal="center" vertical="center" wrapText="1"/>
    </xf>
    <xf numFmtId="0" fontId="46" fillId="4" borderId="77" xfId="0" applyFont="1" applyFill="1" applyBorder="1" applyAlignment="1">
      <alignment vertical="center"/>
    </xf>
    <xf numFmtId="0" fontId="46" fillId="4" borderId="2" xfId="0" applyNumberFormat="1" applyFont="1" applyFill="1" applyBorder="1" applyAlignment="1">
      <alignment horizontal="left" vertical="center"/>
    </xf>
    <xf numFmtId="16" fontId="47" fillId="4" borderId="13" xfId="0" applyNumberFormat="1" applyFont="1" applyFill="1" applyBorder="1" applyAlignment="1">
      <alignment horizontal="center" vertical="center"/>
    </xf>
    <xf numFmtId="0" fontId="46" fillId="4" borderId="5" xfId="0" applyNumberFormat="1" applyFont="1" applyFill="1" applyBorder="1" applyAlignment="1">
      <alignment horizontal="left" vertical="center"/>
    </xf>
    <xf numFmtId="0" fontId="46" fillId="4" borderId="81" xfId="0" applyNumberFormat="1" applyFont="1" applyFill="1" applyBorder="1" applyAlignment="1">
      <alignment horizontal="left" vertical="center"/>
    </xf>
    <xf numFmtId="0" fontId="46" fillId="4" borderId="38" xfId="0" applyNumberFormat="1" applyFont="1" applyFill="1" applyBorder="1" applyAlignment="1">
      <alignment horizontal="left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 wrapText="1"/>
    </xf>
    <xf numFmtId="0" fontId="46" fillId="4" borderId="20" xfId="0" applyNumberFormat="1" applyFont="1" applyFill="1" applyBorder="1" applyAlignment="1">
      <alignment horizontal="left" vertical="center"/>
    </xf>
    <xf numFmtId="0" fontId="46" fillId="4" borderId="50" xfId="0" applyFont="1" applyFill="1" applyBorder="1" applyAlignment="1">
      <alignment horizontal="left"/>
    </xf>
    <xf numFmtId="0" fontId="46" fillId="4" borderId="50" xfId="0" applyFont="1" applyFill="1" applyBorder="1" applyAlignment="1">
      <alignment horizontal="center"/>
    </xf>
    <xf numFmtId="0" fontId="46" fillId="4" borderId="50" xfId="0" applyFont="1" applyFill="1" applyBorder="1"/>
    <xf numFmtId="16" fontId="47" fillId="4" borderId="76" xfId="0" applyNumberFormat="1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left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7" fillId="4" borderId="76" xfId="7" applyFont="1" applyFill="1" applyBorder="1" applyAlignment="1">
      <alignment horizontal="center" vertical="center"/>
    </xf>
    <xf numFmtId="16" fontId="53" fillId="4" borderId="6" xfId="0" applyNumberFormat="1" applyFont="1" applyFill="1" applyBorder="1" applyAlignment="1">
      <alignment horizontal="center" vertical="center"/>
    </xf>
    <xf numFmtId="16" fontId="47" fillId="4" borderId="95" xfId="0" applyNumberFormat="1" applyFont="1" applyFill="1" applyBorder="1" applyAlignment="1">
      <alignment horizontal="center" vertical="center"/>
    </xf>
    <xf numFmtId="0" fontId="46" fillId="4" borderId="12" xfId="7" applyFont="1" applyFill="1" applyBorder="1" applyAlignment="1">
      <alignment horizontal="center" vertical="center"/>
    </xf>
    <xf numFmtId="0" fontId="46" fillId="4" borderId="95" xfId="7" applyFont="1" applyFill="1" applyBorder="1" applyAlignment="1">
      <alignment horizontal="center" vertical="center"/>
    </xf>
    <xf numFmtId="16" fontId="47" fillId="4" borderId="12" xfId="0" applyNumberFormat="1" applyFont="1" applyFill="1" applyBorder="1" applyAlignment="1">
      <alignment horizontal="center" vertical="center"/>
    </xf>
    <xf numFmtId="16" fontId="47" fillId="4" borderId="83" xfId="0" applyNumberFormat="1" applyFont="1" applyFill="1" applyBorder="1" applyAlignment="1">
      <alignment horizontal="center" vertical="center"/>
    </xf>
    <xf numFmtId="0" fontId="51" fillId="4" borderId="7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49" fillId="7" borderId="49" xfId="0" applyFont="1" applyFill="1" applyBorder="1" applyAlignment="1">
      <alignment horizontal="left" vertical="center"/>
    </xf>
    <xf numFmtId="0" fontId="49" fillId="7" borderId="50" xfId="0" applyFont="1" applyFill="1" applyBorder="1" applyAlignment="1">
      <alignment horizontal="left" vertical="center"/>
    </xf>
    <xf numFmtId="0" fontId="49" fillId="7" borderId="50" xfId="0" applyFont="1" applyFill="1" applyBorder="1" applyAlignment="1">
      <alignment horizontal="center" vertical="center"/>
    </xf>
    <xf numFmtId="0" fontId="45" fillId="0" borderId="33" xfId="6" applyFont="1" applyBorder="1" applyAlignment="1">
      <alignment horizontal="center" vertical="center"/>
    </xf>
    <xf numFmtId="0" fontId="45" fillId="0" borderId="34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46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1" fontId="46" fillId="0" borderId="49" xfId="0" applyNumberFormat="1" applyFont="1" applyBorder="1" applyAlignment="1">
      <alignment horizontal="center" vertical="center"/>
    </xf>
    <xf numFmtId="1" fontId="46" fillId="0" borderId="50" xfId="0" applyNumberFormat="1" applyFont="1" applyBorder="1" applyAlignment="1">
      <alignment horizontal="center" vertical="center"/>
    </xf>
    <xf numFmtId="1" fontId="46" fillId="0" borderId="35" xfId="0" applyNumberFormat="1" applyFont="1" applyBorder="1" applyAlignment="1">
      <alignment horizontal="center" vertical="center"/>
    </xf>
    <xf numFmtId="0" fontId="53" fillId="0" borderId="51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165" fontId="49" fillId="7" borderId="50" xfId="0" applyNumberFormat="1" applyFont="1" applyFill="1" applyBorder="1" applyAlignment="1">
      <alignment horizontal="center" vertical="center"/>
    </xf>
    <xf numFmtId="165" fontId="49" fillId="7" borderId="35" xfId="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165" fontId="49" fillId="7" borderId="49" xfId="0" applyNumberFormat="1" applyFont="1" applyFill="1" applyBorder="1" applyAlignment="1">
      <alignment horizontal="left" vertical="center"/>
    </xf>
    <xf numFmtId="165" fontId="49" fillId="7" borderId="50" xfId="0" applyNumberFormat="1" applyFont="1" applyFill="1" applyBorder="1" applyAlignment="1">
      <alignment horizontal="left" vertical="center"/>
    </xf>
    <xf numFmtId="0" fontId="46" fillId="0" borderId="49" xfId="6" applyFont="1" applyFill="1" applyBorder="1" applyAlignment="1">
      <alignment horizontal="left" vertical="center"/>
    </xf>
    <xf numFmtId="0" fontId="46" fillId="0" borderId="51" xfId="6" applyFont="1" applyFill="1" applyBorder="1" applyAlignment="1">
      <alignment horizontal="left" vertical="center"/>
    </xf>
    <xf numFmtId="0" fontId="46" fillId="0" borderId="68" xfId="6" applyFont="1" applyFill="1" applyBorder="1" applyAlignment="1">
      <alignment horizontal="left" vertical="center"/>
    </xf>
    <xf numFmtId="0" fontId="46" fillId="0" borderId="3" xfId="6" applyFont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54" fillId="7" borderId="50" xfId="0" applyFont="1" applyFill="1" applyBorder="1" applyAlignment="1">
      <alignment horizontal="center" vertical="center"/>
    </xf>
    <xf numFmtId="16" fontId="47" fillId="4" borderId="14" xfId="0" applyNumberFormat="1" applyFont="1" applyFill="1" applyBorder="1" applyAlignment="1">
      <alignment horizontal="center" vertical="center"/>
    </xf>
    <xf numFmtId="16" fontId="47" fillId="4" borderId="17" xfId="0" applyNumberFormat="1" applyFont="1" applyFill="1" applyBorder="1" applyAlignment="1">
      <alignment horizontal="center" vertical="center"/>
    </xf>
    <xf numFmtId="16" fontId="56" fillId="4" borderId="15" xfId="0" applyNumberFormat="1" applyFont="1" applyFill="1" applyBorder="1" applyAlignment="1">
      <alignment horizontal="center" vertical="center"/>
    </xf>
    <xf numFmtId="16" fontId="56" fillId="4" borderId="18" xfId="0" applyNumberFormat="1" applyFont="1" applyFill="1" applyBorder="1" applyAlignment="1">
      <alignment horizontal="center" vertical="center"/>
    </xf>
    <xf numFmtId="16" fontId="56" fillId="4" borderId="64" xfId="0" applyNumberFormat="1" applyFont="1" applyFill="1" applyBorder="1" applyAlignment="1">
      <alignment horizontal="center" vertical="center"/>
    </xf>
    <xf numFmtId="16" fontId="56" fillId="4" borderId="23" xfId="0" applyNumberFormat="1" applyFont="1" applyFill="1" applyBorder="1" applyAlignment="1">
      <alignment horizontal="center" vertical="center"/>
    </xf>
    <xf numFmtId="16" fontId="47" fillId="0" borderId="64" xfId="0" applyNumberFormat="1" applyFont="1" applyBorder="1" applyAlignment="1">
      <alignment horizontal="center" vertical="center"/>
    </xf>
    <xf numFmtId="16" fontId="47" fillId="0" borderId="23" xfId="0" applyNumberFormat="1" applyFont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7" fillId="0" borderId="18" xfId="0" applyNumberFormat="1" applyFont="1" applyBorder="1" applyAlignment="1">
      <alignment horizontal="center" vertical="center"/>
    </xf>
    <xf numFmtId="16" fontId="47" fillId="0" borderId="11" xfId="0" applyNumberFormat="1" applyFont="1" applyBorder="1" applyAlignment="1">
      <alignment horizontal="center" vertical="center"/>
    </xf>
    <xf numFmtId="16" fontId="47" fillId="0" borderId="20" xfId="0" applyNumberFormat="1" applyFont="1" applyBorder="1" applyAlignment="1">
      <alignment horizontal="center" vertical="center"/>
    </xf>
    <xf numFmtId="16" fontId="47" fillId="0" borderId="24" xfId="0" applyNumberFormat="1" applyFont="1" applyBorder="1" applyAlignment="1">
      <alignment horizontal="center" vertical="center"/>
    </xf>
    <xf numFmtId="16" fontId="47" fillId="0" borderId="29" xfId="0" applyNumberFormat="1" applyFont="1" applyBorder="1" applyAlignment="1">
      <alignment horizontal="center" vertical="center"/>
    </xf>
    <xf numFmtId="16" fontId="47" fillId="0" borderId="16" xfId="0" applyNumberFormat="1" applyFont="1" applyBorder="1" applyAlignment="1">
      <alignment horizontal="center" vertical="center"/>
    </xf>
    <xf numFmtId="16" fontId="47" fillId="0" borderId="28" xfId="0" applyNumberFormat="1" applyFont="1" applyBorder="1" applyAlignment="1">
      <alignment horizontal="center" vertical="center"/>
    </xf>
    <xf numFmtId="16" fontId="53" fillId="4" borderId="16" xfId="0" applyNumberFormat="1" applyFont="1" applyFill="1" applyBorder="1" applyAlignment="1">
      <alignment horizontal="center" vertical="center"/>
    </xf>
    <xf numFmtId="16" fontId="53" fillId="4" borderId="28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7" fillId="0" borderId="14" xfId="0" applyNumberFormat="1" applyFont="1" applyBorder="1" applyAlignment="1">
      <alignment horizontal="center" vertical="center"/>
    </xf>
    <xf numFmtId="16" fontId="47" fillId="0" borderId="17" xfId="0" applyNumberFormat="1" applyFont="1" applyBorder="1" applyAlignment="1">
      <alignment horizontal="center" vertical="center"/>
    </xf>
    <xf numFmtId="1" fontId="46" fillId="0" borderId="42" xfId="0" applyNumberFormat="1" applyFont="1" applyBorder="1" applyAlignment="1">
      <alignment horizontal="center" vertical="center"/>
    </xf>
    <xf numFmtId="1" fontId="46" fillId="0" borderId="43" xfId="0" applyNumberFormat="1" applyFont="1" applyBorder="1" applyAlignment="1">
      <alignment horizontal="center" vertical="center"/>
    </xf>
    <xf numFmtId="1" fontId="46" fillId="0" borderId="48" xfId="0" applyNumberFormat="1" applyFont="1" applyBorder="1" applyAlignment="1">
      <alignment horizontal="center" vertical="center"/>
    </xf>
    <xf numFmtId="165" fontId="49" fillId="7" borderId="42" xfId="0" applyNumberFormat="1" applyFont="1" applyFill="1" applyBorder="1" applyAlignment="1">
      <alignment horizontal="left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6" fillId="0" borderId="28" xfId="6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6" xfId="6" applyFont="1" applyBorder="1" applyAlignment="1">
      <alignment horizontal="center" vertical="center"/>
    </xf>
    <xf numFmtId="0" fontId="46" fillId="0" borderId="17" xfId="6" applyFont="1" applyBorder="1" applyAlignment="1">
      <alignment horizontal="center" vertical="center"/>
    </xf>
    <xf numFmtId="0" fontId="46" fillId="0" borderId="11" xfId="6" applyFont="1" applyFill="1" applyBorder="1" applyAlignment="1">
      <alignment horizontal="left" vertical="center"/>
    </xf>
    <xf numFmtId="0" fontId="46" fillId="0" borderId="29" xfId="6" applyFont="1" applyFill="1" applyBorder="1" applyAlignment="1">
      <alignment horizontal="left" vertical="center"/>
    </xf>
    <xf numFmtId="0" fontId="46" fillId="0" borderId="25" xfId="6" applyFont="1" applyFill="1" applyBorder="1" applyAlignment="1">
      <alignment horizontal="left" vertical="center"/>
    </xf>
    <xf numFmtId="0" fontId="46" fillId="0" borderId="26" xfId="6" applyFont="1" applyBorder="1" applyAlignment="1">
      <alignment horizontal="center" vertical="center"/>
    </xf>
    <xf numFmtId="16" fontId="51" fillId="4" borderId="16" xfId="0" applyNumberFormat="1" applyFont="1" applyFill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165" fontId="49" fillId="0" borderId="42" xfId="0" applyNumberFormat="1" applyFont="1" applyFill="1" applyBorder="1" applyAlignment="1">
      <alignment horizontal="center" vertical="center"/>
    </xf>
    <xf numFmtId="165" fontId="49" fillId="0" borderId="43" xfId="0" applyNumberFormat="1" applyFont="1" applyFill="1" applyBorder="1" applyAlignment="1">
      <alignment horizontal="center" vertical="center"/>
    </xf>
    <xf numFmtId="16" fontId="47" fillId="4" borderId="5" xfId="0" applyNumberFormat="1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16" fontId="56" fillId="4" borderId="7" xfId="0" applyNumberFormat="1" applyFont="1" applyFill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16" fontId="51" fillId="4" borderId="0" xfId="0" applyNumberFormat="1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0" fontId="60" fillId="0" borderId="51" xfId="0" applyFont="1" applyBorder="1" applyAlignment="1">
      <alignment horizontal="center" vertical="center" wrapText="1"/>
    </xf>
    <xf numFmtId="0" fontId="49" fillId="7" borderId="34" xfId="0" applyFont="1" applyFill="1" applyBorder="1" applyAlignment="1">
      <alignment horizontal="center" vertical="center"/>
    </xf>
    <xf numFmtId="0" fontId="49" fillId="7" borderId="13" xfId="0" applyFont="1" applyFill="1" applyBorder="1" applyAlignment="1">
      <alignment horizontal="center" vertical="center"/>
    </xf>
    <xf numFmtId="16" fontId="56" fillId="4" borderId="6" xfId="0" applyNumberFormat="1" applyFont="1" applyFill="1" applyBorder="1" applyAlignment="1">
      <alignment horizontal="center" vertical="center"/>
    </xf>
    <xf numFmtId="0" fontId="56" fillId="4" borderId="6" xfId="0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5" fillId="4" borderId="70" xfId="0" applyFont="1" applyFill="1" applyBorder="1" applyAlignment="1">
      <alignment horizontal="center" vertical="center"/>
    </xf>
    <xf numFmtId="16" fontId="47" fillId="4" borderId="23" xfId="0" applyNumberFormat="1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16" fontId="47" fillId="4" borderId="6" xfId="0" applyNumberFormat="1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16" fontId="47" fillId="4" borderId="7" xfId="0" applyNumberFormat="1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16" fontId="47" fillId="4" borderId="10" xfId="0" applyNumberFormat="1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16" fontId="56" fillId="4" borderId="28" xfId="0" applyNumberFormat="1" applyFont="1" applyFill="1" applyBorder="1" applyAlignment="1">
      <alignment horizontal="center" vertical="center"/>
    </xf>
    <xf numFmtId="1" fontId="46" fillId="0" borderId="42" xfId="0" applyNumberFormat="1" applyFont="1" applyFill="1" applyBorder="1" applyAlignment="1">
      <alignment horizontal="center" vertical="center"/>
    </xf>
    <xf numFmtId="1" fontId="46" fillId="0" borderId="43" xfId="0" applyNumberFormat="1" applyFont="1" applyFill="1" applyBorder="1" applyAlignment="1">
      <alignment horizontal="center" vertical="center"/>
    </xf>
    <xf numFmtId="1" fontId="46" fillId="0" borderId="48" xfId="0" applyNumberFormat="1" applyFont="1" applyFill="1" applyBorder="1" applyAlignment="1">
      <alignment horizontal="center" vertical="center"/>
    </xf>
    <xf numFmtId="165" fontId="49" fillId="7" borderId="48" xfId="0" applyNumberFormat="1" applyFont="1" applyFill="1" applyBorder="1" applyAlignment="1">
      <alignment horizontal="left" vertical="center"/>
    </xf>
    <xf numFmtId="0" fontId="51" fillId="8" borderId="14" xfId="0" applyFont="1" applyFill="1" applyBorder="1" applyAlignment="1">
      <alignment horizontal="center" vertical="center"/>
    </xf>
    <xf numFmtId="0" fontId="51" fillId="4" borderId="1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51" fillId="4" borderId="17" xfId="0" applyNumberFormat="1" applyFont="1" applyFill="1" applyBorder="1" applyAlignment="1">
      <alignment horizontal="center" vertical="center"/>
    </xf>
    <xf numFmtId="16" fontId="47" fillId="4" borderId="16" xfId="0" applyNumberFormat="1" applyFont="1" applyFill="1" applyBorder="1" applyAlignment="1">
      <alignment horizontal="center" vertical="center"/>
    </xf>
    <xf numFmtId="16" fontId="56" fillId="4" borderId="14" xfId="0" applyNumberFormat="1" applyFont="1" applyFill="1" applyBorder="1" applyAlignment="1">
      <alignment horizontal="center" vertical="center"/>
    </xf>
    <xf numFmtId="0" fontId="49" fillId="7" borderId="42" xfId="0" applyFont="1" applyFill="1" applyBorder="1" applyAlignment="1">
      <alignment horizontal="left" vertical="center"/>
    </xf>
    <xf numFmtId="0" fontId="49" fillId="7" borderId="43" xfId="0" applyFont="1" applyFill="1" applyBorder="1" applyAlignment="1">
      <alignment horizontal="left" vertical="center"/>
    </xf>
    <xf numFmtId="0" fontId="46" fillId="4" borderId="51" xfId="0" applyFont="1" applyFill="1" applyBorder="1" applyAlignment="1">
      <alignment horizontal="left" vertical="center"/>
    </xf>
    <xf numFmtId="0" fontId="46" fillId="4" borderId="68" xfId="0" applyFont="1" applyFill="1" applyBorder="1" applyAlignment="1">
      <alignment horizontal="left" vertical="center"/>
    </xf>
    <xf numFmtId="0" fontId="46" fillId="4" borderId="16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4" borderId="65" xfId="0" applyFont="1" applyFill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left" vertical="center"/>
    </xf>
    <xf numFmtId="0" fontId="46" fillId="4" borderId="8" xfId="0" applyFont="1" applyFill="1" applyBorder="1" applyAlignment="1">
      <alignment horizontal="left" vertical="center"/>
    </xf>
    <xf numFmtId="0" fontId="46" fillId="4" borderId="2" xfId="0" applyFont="1" applyFill="1" applyBorder="1" applyAlignment="1">
      <alignment horizontal="left" vertical="center"/>
    </xf>
    <xf numFmtId="0" fontId="46" fillId="4" borderId="20" xfId="0" applyFont="1" applyFill="1" applyBorder="1" applyAlignment="1">
      <alignment horizontal="left" vertical="center"/>
    </xf>
    <xf numFmtId="0" fontId="56" fillId="0" borderId="28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0" borderId="51" xfId="0" applyFont="1" applyFill="1" applyBorder="1" applyAlignment="1">
      <alignment horizontal="left" vertical="center"/>
    </xf>
    <xf numFmtId="0" fontId="46" fillId="0" borderId="68" xfId="0" applyFont="1" applyFill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9" fillId="7" borderId="2" xfId="0" applyFont="1" applyFill="1" applyBorder="1" applyAlignment="1">
      <alignment horizontal="left" vertical="center"/>
    </xf>
    <xf numFmtId="0" fontId="49" fillId="7" borderId="3" xfId="0" applyFont="1" applyFill="1" applyBorder="1" applyAlignment="1">
      <alignment horizontal="left" vertical="center"/>
    </xf>
    <xf numFmtId="0" fontId="49" fillId="7" borderId="12" xfId="0" applyFont="1" applyFill="1" applyBorder="1" applyAlignment="1">
      <alignment horizontal="left" vertical="center"/>
    </xf>
    <xf numFmtId="0" fontId="49" fillId="7" borderId="3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0" fontId="46" fillId="0" borderId="14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46" fillId="0" borderId="51" xfId="0" applyFont="1" applyBorder="1" applyAlignment="1">
      <alignment horizontal="left" vertical="center"/>
    </xf>
    <xf numFmtId="0" fontId="46" fillId="0" borderId="68" xfId="0" applyFont="1" applyBorder="1" applyAlignment="1">
      <alignment horizontal="left" vertical="center"/>
    </xf>
    <xf numFmtId="0" fontId="47" fillId="4" borderId="26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16" fontId="56" fillId="4" borderId="16" xfId="0" applyNumberFormat="1" applyFont="1" applyFill="1" applyBorder="1" applyAlignment="1">
      <alignment horizontal="center" vertical="center"/>
    </xf>
    <xf numFmtId="16" fontId="51" fillId="4" borderId="14" xfId="0" applyNumberFormat="1" applyFont="1" applyFill="1" applyBorder="1" applyAlignment="1">
      <alignment horizontal="center" vertical="center"/>
    </xf>
    <xf numFmtId="1" fontId="46" fillId="0" borderId="85" xfId="0" applyNumberFormat="1" applyFont="1" applyBorder="1" applyAlignment="1">
      <alignment horizontal="center" vertical="center"/>
    </xf>
    <xf numFmtId="1" fontId="46" fillId="0" borderId="86" xfId="0" applyNumberFormat="1" applyFont="1" applyBorder="1" applyAlignment="1">
      <alignment horizontal="center" vertical="center"/>
    </xf>
    <xf numFmtId="1" fontId="46" fillId="0" borderId="87" xfId="0" applyNumberFormat="1" applyFont="1" applyBorder="1" applyAlignment="1">
      <alignment horizontal="center" vertical="center"/>
    </xf>
    <xf numFmtId="0" fontId="46" fillId="0" borderId="20" xfId="6" applyFont="1" applyFill="1" applyBorder="1" applyAlignment="1">
      <alignment horizontal="left" vertical="center"/>
    </xf>
    <xf numFmtId="0" fontId="46" fillId="0" borderId="81" xfId="6" applyFont="1" applyFill="1" applyBorder="1" applyAlignment="1">
      <alignment horizontal="left" vertical="center"/>
    </xf>
    <xf numFmtId="0" fontId="46" fillId="0" borderId="80" xfId="6" applyFont="1" applyFill="1" applyBorder="1" applyAlignment="1">
      <alignment horizontal="left" vertical="center"/>
    </xf>
    <xf numFmtId="0" fontId="47" fillId="4" borderId="77" xfId="0" applyFont="1" applyFill="1" applyBorder="1" applyAlignment="1">
      <alignment horizontal="center" vertical="center"/>
    </xf>
    <xf numFmtId="0" fontId="45" fillId="0" borderId="42" xfId="3" applyFont="1" applyBorder="1" applyAlignment="1">
      <alignment horizontal="center" vertical="center"/>
    </xf>
    <xf numFmtId="0" fontId="45" fillId="0" borderId="43" xfId="3" applyFont="1" applyBorder="1" applyAlignment="1">
      <alignment horizontal="center" vertical="center"/>
    </xf>
    <xf numFmtId="0" fontId="45" fillId="0" borderId="48" xfId="3" applyFont="1" applyBorder="1" applyAlignment="1">
      <alignment horizontal="center" vertical="center"/>
    </xf>
    <xf numFmtId="0" fontId="49" fillId="7" borderId="43" xfId="7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11" xfId="7" applyFont="1" applyFill="1" applyBorder="1" applyAlignment="1">
      <alignment horizontal="left" vertical="center"/>
    </xf>
    <xf numFmtId="0" fontId="46" fillId="4" borderId="29" xfId="7" applyFont="1" applyFill="1" applyBorder="1" applyAlignment="1">
      <alignment horizontal="left" vertical="center"/>
    </xf>
    <xf numFmtId="0" fontId="49" fillId="7" borderId="42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16" fontId="46" fillId="0" borderId="0" xfId="7" applyNumberFormat="1" applyFont="1" applyBorder="1" applyAlignment="1">
      <alignment horizontal="center" vertical="center"/>
    </xf>
    <xf numFmtId="0" fontId="46" fillId="0" borderId="0" xfId="7" applyFont="1" applyBorder="1" applyAlignment="1">
      <alignment horizontal="center" vertical="center"/>
    </xf>
    <xf numFmtId="16" fontId="46" fillId="0" borderId="28" xfId="7" applyNumberFormat="1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16" fontId="56" fillId="0" borderId="53" xfId="7" applyNumberFormat="1" applyFont="1" applyBorder="1" applyAlignment="1">
      <alignment horizontal="center" vertical="center"/>
    </xf>
    <xf numFmtId="16" fontId="46" fillId="0" borderId="12" xfId="7" applyNumberFormat="1" applyFont="1" applyBorder="1" applyAlignment="1">
      <alignment horizontal="center" vertical="center"/>
    </xf>
    <xf numFmtId="16" fontId="46" fillId="0" borderId="53" xfId="7" applyNumberFormat="1" applyFont="1" applyBorder="1" applyAlignment="1">
      <alignment horizontal="center" vertical="center"/>
    </xf>
    <xf numFmtId="0" fontId="47" fillId="0" borderId="55" xfId="7" applyFont="1" applyBorder="1" applyAlignment="1">
      <alignment horizontal="center" vertical="center"/>
    </xf>
    <xf numFmtId="0" fontId="47" fillId="0" borderId="67" xfId="7" applyFont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16" fontId="46" fillId="4" borderId="7" xfId="7" applyNumberFormat="1" applyFont="1" applyFill="1" applyBorder="1" applyAlignment="1">
      <alignment horizontal="center" vertical="center"/>
    </xf>
    <xf numFmtId="16" fontId="47" fillId="4" borderId="64" xfId="0" applyNumberFormat="1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18" xfId="0" applyFont="1" applyFill="1" applyBorder="1" applyAlignment="1">
      <alignment horizontal="center" vertical="center"/>
    </xf>
    <xf numFmtId="16" fontId="46" fillId="0" borderId="26" xfId="7" applyNumberFormat="1" applyFont="1" applyBorder="1" applyAlignment="1">
      <alignment horizontal="center" vertical="center"/>
    </xf>
    <xf numFmtId="16" fontId="51" fillId="0" borderId="0" xfId="7" applyNumberFormat="1" applyFont="1" applyBorder="1" applyAlignment="1">
      <alignment horizontal="center" vertical="center"/>
    </xf>
    <xf numFmtId="0" fontId="51" fillId="0" borderId="0" xfId="7" applyFont="1" applyBorder="1" applyAlignment="1">
      <alignment horizontal="center" vertical="center"/>
    </xf>
    <xf numFmtId="16" fontId="47" fillId="0" borderId="6" xfId="7" applyNumberFormat="1" applyFont="1" applyFill="1" applyBorder="1" applyAlignment="1">
      <alignment horizontal="center" vertical="center"/>
    </xf>
    <xf numFmtId="0" fontId="47" fillId="0" borderId="9" xfId="7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16" fontId="47" fillId="4" borderId="3" xfId="7" applyNumberFormat="1" applyFont="1" applyFill="1" applyBorder="1" applyAlignment="1">
      <alignment horizontal="center" vertical="center"/>
    </xf>
    <xf numFmtId="0" fontId="47" fillId="4" borderId="6" xfId="7" applyFont="1" applyFill="1" applyBorder="1" applyAlignment="1">
      <alignment horizontal="center" vertical="center"/>
    </xf>
    <xf numFmtId="16" fontId="47" fillId="4" borderId="6" xfId="7" applyNumberFormat="1" applyFont="1" applyFill="1" applyBorder="1" applyAlignment="1">
      <alignment horizontal="center" vertical="center"/>
    </xf>
    <xf numFmtId="0" fontId="47" fillId="0" borderId="6" xfId="7" applyFont="1" applyFill="1" applyBorder="1" applyAlignment="1">
      <alignment horizontal="center" vertical="center"/>
    </xf>
    <xf numFmtId="16" fontId="46" fillId="0" borderId="54" xfId="7" applyNumberFormat="1" applyFont="1" applyBorder="1" applyAlignment="1">
      <alignment horizontal="center" vertical="center"/>
    </xf>
    <xf numFmtId="0" fontId="45" fillId="0" borderId="33" xfId="3" applyFont="1" applyFill="1" applyBorder="1" applyAlignment="1">
      <alignment horizontal="center" vertical="center"/>
    </xf>
    <xf numFmtId="0" fontId="45" fillId="0" borderId="34" xfId="3" applyFont="1" applyFill="1" applyBorder="1" applyAlignment="1">
      <alignment horizontal="center" vertical="center"/>
    </xf>
    <xf numFmtId="0" fontId="45" fillId="0" borderId="70" xfId="3" applyFont="1" applyFill="1" applyBorder="1" applyAlignment="1">
      <alignment horizontal="center" vertical="center"/>
    </xf>
    <xf numFmtId="16" fontId="46" fillId="0" borderId="4" xfId="7" applyNumberFormat="1" applyFont="1" applyBorder="1" applyAlignment="1">
      <alignment horizontal="center" vertical="center"/>
    </xf>
    <xf numFmtId="16" fontId="46" fillId="0" borderId="7" xfId="7" applyNumberFormat="1" applyFont="1" applyBorder="1" applyAlignment="1">
      <alignment horizontal="center" vertical="center"/>
    </xf>
    <xf numFmtId="16" fontId="56" fillId="0" borderId="7" xfId="7" applyNumberFormat="1" applyFont="1" applyBorder="1" applyAlignment="1">
      <alignment horizontal="center" vertical="center"/>
    </xf>
    <xf numFmtId="16" fontId="46" fillId="0" borderId="10" xfId="7" applyNumberFormat="1" applyFont="1" applyBorder="1" applyAlignment="1">
      <alignment horizontal="center" vertical="center"/>
    </xf>
    <xf numFmtId="16" fontId="46" fillId="0" borderId="33" xfId="7" applyNumberFormat="1" applyFont="1" applyBorder="1" applyAlignment="1">
      <alignment horizontal="center" vertical="center"/>
    </xf>
    <xf numFmtId="16" fontId="46" fillId="0" borderId="36" xfId="7" applyNumberFormat="1" applyFont="1" applyBorder="1" applyAlignment="1">
      <alignment horizontal="center" vertical="center"/>
    </xf>
    <xf numFmtId="16" fontId="56" fillId="0" borderId="36" xfId="7" applyNumberFormat="1" applyFont="1" applyBorder="1" applyAlignment="1">
      <alignment horizontal="center" vertical="center"/>
    </xf>
    <xf numFmtId="16" fontId="46" fillId="0" borderId="37" xfId="7" applyNumberFormat="1" applyFont="1" applyBorder="1" applyAlignment="1">
      <alignment horizontal="center" vertical="center"/>
    </xf>
    <xf numFmtId="0" fontId="45" fillId="0" borderId="33" xfId="3" applyFont="1" applyBorder="1" applyAlignment="1">
      <alignment horizontal="center" vertical="center"/>
    </xf>
    <xf numFmtId="0" fontId="45" fillId="0" borderId="34" xfId="3" applyFont="1" applyBorder="1" applyAlignment="1">
      <alignment horizontal="center" vertical="center"/>
    </xf>
    <xf numFmtId="0" fontId="45" fillId="0" borderId="70" xfId="3" applyFont="1" applyBorder="1" applyAlignment="1">
      <alignment horizontal="center" vertical="center"/>
    </xf>
    <xf numFmtId="0" fontId="56" fillId="4" borderId="28" xfId="0" applyFont="1" applyFill="1" applyBorder="1" applyAlignment="1">
      <alignment horizontal="center" vertical="center"/>
    </xf>
    <xf numFmtId="0" fontId="47" fillId="0" borderId="14" xfId="7" applyFont="1" applyBorder="1" applyAlignment="1">
      <alignment horizontal="center" vertical="center"/>
    </xf>
    <xf numFmtId="0" fontId="47" fillId="0" borderId="16" xfId="7" applyFont="1" applyBorder="1" applyAlignment="1">
      <alignment horizontal="center" vertical="center"/>
    </xf>
    <xf numFmtId="0" fontId="49" fillId="7" borderId="34" xfId="7" applyFont="1" applyFill="1" applyBorder="1" applyAlignment="1">
      <alignment horizontal="left" vertical="center"/>
    </xf>
    <xf numFmtId="16" fontId="47" fillId="4" borderId="15" xfId="7" applyNumberFormat="1" applyFont="1" applyFill="1" applyBorder="1" applyAlignment="1">
      <alignment horizontal="center" vertical="center"/>
    </xf>
    <xf numFmtId="16" fontId="47" fillId="4" borderId="18" xfId="7" applyNumberFormat="1" applyFont="1" applyFill="1" applyBorder="1" applyAlignment="1">
      <alignment horizontal="center" vertical="center"/>
    </xf>
    <xf numFmtId="16" fontId="46" fillId="0" borderId="28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56" fillId="0" borderId="28" xfId="7" applyNumberFormat="1" applyFont="1" applyFill="1" applyBorder="1" applyAlignment="1">
      <alignment horizontal="center" vertical="center"/>
    </xf>
    <xf numFmtId="0" fontId="56" fillId="0" borderId="6" xfId="7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16" fontId="53" fillId="4" borderId="6" xfId="7" applyNumberFormat="1" applyFont="1" applyFill="1" applyBorder="1" applyAlignment="1">
      <alignment horizontal="center" vertical="center"/>
    </xf>
    <xf numFmtId="0" fontId="53" fillId="4" borderId="6" xfId="7" applyFont="1" applyFill="1" applyBorder="1" applyAlignment="1">
      <alignment horizontal="center" vertical="center"/>
    </xf>
    <xf numFmtId="16" fontId="53" fillId="0" borderId="6" xfId="7" applyNumberFormat="1" applyFont="1" applyBorder="1" applyAlignment="1">
      <alignment horizontal="center" vertical="center"/>
    </xf>
    <xf numFmtId="0" fontId="53" fillId="0" borderId="6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16" fontId="56" fillId="0" borderId="6" xfId="7" applyNumberFormat="1" applyFont="1" applyBorder="1" applyAlignment="1">
      <alignment horizontal="center" vertical="center"/>
    </xf>
    <xf numFmtId="0" fontId="56" fillId="0" borderId="6" xfId="7" applyFont="1" applyBorder="1" applyAlignment="1">
      <alignment horizontal="center" vertical="center"/>
    </xf>
    <xf numFmtId="16" fontId="47" fillId="0" borderId="6" xfId="7" applyNumberFormat="1" applyFont="1" applyBorder="1" applyAlignment="1">
      <alignment horizontal="center" vertical="center"/>
    </xf>
    <xf numFmtId="0" fontId="47" fillId="0" borderId="9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53" fillId="0" borderId="9" xfId="7" applyFont="1" applyBorder="1" applyAlignment="1">
      <alignment horizontal="center" vertical="center"/>
    </xf>
    <xf numFmtId="16" fontId="53" fillId="0" borderId="6" xfId="7" applyNumberFormat="1" applyFont="1" applyFill="1" applyBorder="1" applyAlignment="1">
      <alignment horizontal="center" vertical="center"/>
    </xf>
    <xf numFmtId="0" fontId="53" fillId="0" borderId="9" xfId="7" applyFont="1" applyFill="1" applyBorder="1" applyAlignment="1">
      <alignment horizontal="center" vertical="center"/>
    </xf>
    <xf numFmtId="16" fontId="46" fillId="0" borderId="21" xfId="7" applyNumberFormat="1" applyFont="1" applyFill="1" applyBorder="1" applyAlignment="1">
      <alignment horizontal="center" vertical="center"/>
    </xf>
    <xf numFmtId="0" fontId="46" fillId="0" borderId="53" xfId="7" applyFont="1" applyFill="1" applyBorder="1" applyAlignment="1">
      <alignment horizontal="center" vertical="center"/>
    </xf>
    <xf numFmtId="16" fontId="56" fillId="0" borderId="21" xfId="7" applyNumberFormat="1" applyFont="1" applyFill="1" applyBorder="1" applyAlignment="1">
      <alignment horizontal="center" vertical="center"/>
    </xf>
    <xf numFmtId="0" fontId="56" fillId="0" borderId="53" xfId="7" applyFont="1" applyFill="1" applyBorder="1" applyAlignment="1">
      <alignment horizontal="center" vertical="center"/>
    </xf>
    <xf numFmtId="16" fontId="46" fillId="0" borderId="2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47" fillId="4" borderId="67" xfId="0" applyNumberFormat="1" applyFont="1" applyFill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47" fillId="4" borderId="56" xfId="0" applyFont="1" applyFill="1" applyBorder="1" applyAlignment="1">
      <alignment horizontal="center" vertical="center"/>
    </xf>
    <xf numFmtId="0" fontId="56" fillId="0" borderId="53" xfId="7" applyFont="1" applyBorder="1" applyAlignment="1">
      <alignment horizontal="center" vertical="center"/>
    </xf>
    <xf numFmtId="0" fontId="46" fillId="0" borderId="54" xfId="7" applyFont="1" applyBorder="1" applyAlignment="1">
      <alignment horizontal="center" vertical="center"/>
    </xf>
    <xf numFmtId="16" fontId="53" fillId="0" borderId="3" xfId="7" applyNumberFormat="1" applyFont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7" fillId="4" borderId="1" xfId="7" applyNumberFormat="1" applyFont="1" applyFill="1" applyBorder="1" applyAlignment="1">
      <alignment horizontal="center" vertical="center"/>
    </xf>
    <xf numFmtId="16" fontId="47" fillId="4" borderId="22" xfId="7" applyNumberFormat="1" applyFont="1" applyFill="1" applyBorder="1" applyAlignment="1">
      <alignment horizontal="center" vertical="center"/>
    </xf>
    <xf numFmtId="16" fontId="47" fillId="4" borderId="71" xfId="7" applyNumberFormat="1" applyFont="1" applyFill="1" applyBorder="1" applyAlignment="1">
      <alignment horizontal="center" vertical="center"/>
    </xf>
    <xf numFmtId="16" fontId="47" fillId="4" borderId="65" xfId="7" applyNumberFormat="1" applyFont="1" applyFill="1" applyBorder="1" applyAlignment="1">
      <alignment horizontal="center" vertical="center"/>
    </xf>
    <xf numFmtId="16" fontId="46" fillId="0" borderId="21" xfId="7" applyNumberFormat="1" applyFont="1" applyBorder="1" applyAlignment="1">
      <alignment horizontal="center" vertical="center"/>
    </xf>
    <xf numFmtId="0" fontId="53" fillId="0" borderId="6" xfId="7" applyFont="1" applyFill="1" applyBorder="1" applyAlignment="1">
      <alignment horizontal="center" vertical="center"/>
    </xf>
    <xf numFmtId="16" fontId="47" fillId="0" borderId="3" xfId="7" applyNumberFormat="1" applyFont="1" applyFill="1" applyBorder="1" applyAlignment="1">
      <alignment horizontal="center" vertical="center"/>
    </xf>
    <xf numFmtId="16" fontId="51" fillId="0" borderId="25" xfId="0" applyNumberFormat="1" applyFont="1" applyBorder="1" applyAlignment="1">
      <alignment horizontal="center" vertical="center"/>
    </xf>
    <xf numFmtId="16" fontId="51" fillId="0" borderId="20" xfId="0" applyNumberFormat="1" applyFont="1" applyBorder="1" applyAlignment="1">
      <alignment horizontal="center" vertical="center"/>
    </xf>
    <xf numFmtId="16" fontId="51" fillId="4" borderId="51" xfId="0" applyNumberFormat="1" applyFont="1" applyFill="1" applyBorder="1" applyAlignment="1">
      <alignment horizontal="center" vertical="center"/>
    </xf>
    <xf numFmtId="0" fontId="51" fillId="4" borderId="38" xfId="0" applyFont="1" applyFill="1" applyBorder="1" applyAlignment="1">
      <alignment horizontal="center" vertical="center"/>
    </xf>
    <xf numFmtId="16" fontId="47" fillId="4" borderId="51" xfId="0" applyNumberFormat="1" applyFont="1" applyFill="1" applyBorder="1" applyAlignment="1">
      <alignment horizontal="center" vertical="center"/>
    </xf>
    <xf numFmtId="0" fontId="47" fillId="4" borderId="38" xfId="0" applyFont="1" applyFill="1" applyBorder="1" applyAlignment="1">
      <alignment horizontal="center" vertical="center"/>
    </xf>
    <xf numFmtId="16" fontId="53" fillId="0" borderId="3" xfId="7" applyNumberFormat="1" applyFont="1" applyFill="1" applyBorder="1" applyAlignment="1">
      <alignment horizontal="center" vertical="center"/>
    </xf>
    <xf numFmtId="16" fontId="53" fillId="4" borderId="3" xfId="7" applyNumberFormat="1" applyFont="1" applyFill="1" applyBorder="1" applyAlignment="1">
      <alignment horizontal="center" vertical="center"/>
    </xf>
    <xf numFmtId="0" fontId="47" fillId="4" borderId="68" xfId="0" applyFont="1" applyFill="1" applyBorder="1" applyAlignment="1">
      <alignment horizontal="center" vertical="center"/>
    </xf>
    <xf numFmtId="16" fontId="46" fillId="4" borderId="28" xfId="7" applyNumberFormat="1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16" fontId="47" fillId="4" borderId="76" xfId="7" applyNumberFormat="1" applyFont="1" applyFill="1" applyBorder="1" applyAlignment="1">
      <alignment horizontal="center" vertical="center"/>
    </xf>
    <xf numFmtId="16" fontId="47" fillId="4" borderId="77" xfId="7" applyNumberFormat="1" applyFont="1" applyFill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46" fillId="4" borderId="71" xfId="0" applyFont="1" applyFill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53" fillId="4" borderId="3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0" fontId="47" fillId="4" borderId="26" xfId="7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7" fillId="4" borderId="14" xfId="7" applyFont="1" applyFill="1" applyBorder="1" applyAlignment="1">
      <alignment horizontal="center" vertical="center"/>
    </xf>
    <xf numFmtId="0" fontId="47" fillId="4" borderId="17" xfId="7" applyFont="1" applyFill="1" applyBorder="1" applyAlignment="1">
      <alignment horizontal="center" vertical="center"/>
    </xf>
    <xf numFmtId="0" fontId="46" fillId="0" borderId="20" xfId="7" applyFont="1" applyBorder="1" applyAlignment="1">
      <alignment horizontal="left" vertical="center"/>
    </xf>
    <xf numFmtId="0" fontId="46" fillId="0" borderId="5" xfId="7" applyFont="1" applyBorder="1" applyAlignment="1">
      <alignment horizontal="left" vertical="center"/>
    </xf>
    <xf numFmtId="0" fontId="46" fillId="0" borderId="28" xfId="7" applyFont="1" applyBorder="1" applyAlignment="1">
      <alignment horizontal="center" vertical="center"/>
    </xf>
    <xf numFmtId="0" fontId="46" fillId="4" borderId="2" xfId="7" applyFont="1" applyFill="1" applyBorder="1" applyAlignment="1">
      <alignment horizontal="left" vertical="center"/>
    </xf>
    <xf numFmtId="0" fontId="46" fillId="4" borderId="25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7" fillId="4" borderId="24" xfId="7" applyFont="1" applyFill="1" applyBorder="1" applyAlignment="1">
      <alignment horizontal="left" vertical="center"/>
    </xf>
    <xf numFmtId="0" fontId="47" fillId="4" borderId="20" xfId="7" applyFont="1" applyFill="1" applyBorder="1" applyAlignment="1">
      <alignment horizontal="left" vertical="center"/>
    </xf>
    <xf numFmtId="0" fontId="49" fillId="7" borderId="33" xfId="7" applyFont="1" applyFill="1" applyBorder="1" applyAlignment="1">
      <alignment horizontal="left" vertical="center"/>
    </xf>
    <xf numFmtId="0" fontId="46" fillId="0" borderId="24" xfId="7" applyFont="1" applyBorder="1" applyAlignment="1">
      <alignment horizontal="left" vertical="center"/>
    </xf>
    <xf numFmtId="0" fontId="46" fillId="0" borderId="8" xfId="7" applyFont="1" applyBorder="1" applyAlignment="1">
      <alignment horizontal="left" vertical="center"/>
    </xf>
    <xf numFmtId="0" fontId="56" fillId="0" borderId="28" xfId="7" applyFont="1" applyBorder="1" applyAlignment="1">
      <alignment horizontal="center" vertical="center"/>
    </xf>
    <xf numFmtId="0" fontId="47" fillId="0" borderId="6" xfId="7" applyFont="1" applyBorder="1" applyAlignment="1">
      <alignment horizontal="center" vertical="center"/>
    </xf>
    <xf numFmtId="0" fontId="47" fillId="4" borderId="29" xfId="7" applyFont="1" applyFill="1" applyBorder="1" applyAlignment="1">
      <alignment horizontal="left" vertical="center"/>
    </xf>
    <xf numFmtId="0" fontId="53" fillId="0" borderId="14" xfId="7" applyFont="1" applyBorder="1" applyAlignment="1">
      <alignment horizontal="center" vertical="center"/>
    </xf>
    <xf numFmtId="0" fontId="53" fillId="0" borderId="28" xfId="7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56" fillId="4" borderId="28" xfId="7" applyFont="1" applyFill="1" applyBorder="1" applyAlignment="1">
      <alignment horizontal="center" vertical="center"/>
    </xf>
    <xf numFmtId="0" fontId="56" fillId="4" borderId="6" xfId="7" applyFont="1" applyFill="1" applyBorder="1" applyAlignment="1">
      <alignment horizontal="center" vertical="center"/>
    </xf>
    <xf numFmtId="0" fontId="53" fillId="4" borderId="9" xfId="7" applyFont="1" applyFill="1" applyBorder="1" applyAlignment="1">
      <alignment horizontal="center" vertical="center"/>
    </xf>
    <xf numFmtId="0" fontId="46" fillId="0" borderId="28" xfId="7" applyFont="1" applyFill="1" applyBorder="1" applyAlignment="1">
      <alignment horizontal="center" vertical="center"/>
    </xf>
    <xf numFmtId="0" fontId="46" fillId="4" borderId="53" xfId="7" applyFont="1" applyFill="1" applyBorder="1" applyAlignment="1">
      <alignment horizontal="center" vertical="center"/>
    </xf>
    <xf numFmtId="0" fontId="46" fillId="4" borderId="19" xfId="7" applyFont="1" applyFill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86" xfId="0" applyFont="1" applyBorder="1" applyAlignment="1">
      <alignment horizontal="center" vertical="center"/>
    </xf>
    <xf numFmtId="0" fontId="47" fillId="4" borderId="3" xfId="7" applyFont="1" applyFill="1" applyBorder="1" applyAlignment="1">
      <alignment horizontal="center" vertical="center"/>
    </xf>
    <xf numFmtId="0" fontId="56" fillId="0" borderId="28" xfId="7" applyFont="1" applyFill="1" applyBorder="1" applyAlignment="1">
      <alignment horizontal="center" vertical="center"/>
    </xf>
    <xf numFmtId="0" fontId="56" fillId="0" borderId="9" xfId="7" applyFont="1" applyFill="1" applyBorder="1" applyAlignment="1">
      <alignment horizontal="center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7" fillId="4" borderId="23" xfId="7" applyNumberFormat="1" applyFont="1" applyFill="1" applyBorder="1" applyAlignment="1">
      <alignment horizontal="center" vertical="center"/>
    </xf>
    <xf numFmtId="0" fontId="47" fillId="0" borderId="76" xfId="7" applyFont="1" applyBorder="1" applyAlignment="1">
      <alignment horizontal="center" vertical="center"/>
    </xf>
    <xf numFmtId="0" fontId="47" fillId="0" borderId="77" xfId="7" applyFont="1" applyBorder="1" applyAlignment="1">
      <alignment horizontal="center" vertical="center"/>
    </xf>
    <xf numFmtId="0" fontId="46" fillId="4" borderId="81" xfId="0" applyFont="1" applyFill="1" applyBorder="1" applyAlignment="1">
      <alignment horizontal="left" vertical="center"/>
    </xf>
    <xf numFmtId="0" fontId="46" fillId="4" borderId="80" xfId="0" applyFont="1" applyFill="1" applyBorder="1" applyAlignment="1">
      <alignment horizontal="left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7" fillId="0" borderId="56" xfId="7" applyFont="1" applyBorder="1" applyAlignment="1">
      <alignment horizontal="center" vertical="center"/>
    </xf>
    <xf numFmtId="0" fontId="46" fillId="0" borderId="81" xfId="7" applyFont="1" applyBorder="1" applyAlignment="1">
      <alignment horizontal="center" vertical="center"/>
    </xf>
    <xf numFmtId="0" fontId="46" fillId="0" borderId="80" xfId="7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4" borderId="12" xfId="7" applyFont="1" applyFill="1" applyBorder="1" applyAlignment="1">
      <alignment horizontal="center" vertical="center"/>
    </xf>
    <xf numFmtId="0" fontId="46" fillId="4" borderId="13" xfId="7" applyFont="1" applyFill="1" applyBorder="1" applyAlignment="1">
      <alignment horizontal="center" vertical="center"/>
    </xf>
    <xf numFmtId="16" fontId="47" fillId="4" borderId="95" xfId="0" applyNumberFormat="1" applyFont="1" applyFill="1" applyBorder="1" applyAlignment="1">
      <alignment horizontal="center" vertical="center"/>
    </xf>
    <xf numFmtId="16" fontId="47" fillId="4" borderId="96" xfId="0" applyNumberFormat="1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4" borderId="21" xfId="7" applyFont="1" applyFill="1" applyBorder="1" applyAlignment="1">
      <alignment horizontal="center" vertical="center"/>
    </xf>
    <xf numFmtId="0" fontId="46" fillId="4" borderId="22" xfId="7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9" fillId="7" borderId="48" xfId="0" applyFont="1" applyFill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6" fillId="4" borderId="95" xfId="7" applyFont="1" applyFill="1" applyBorder="1" applyAlignment="1">
      <alignment horizontal="center" vertical="center"/>
    </xf>
    <xf numFmtId="0" fontId="46" fillId="4" borderId="96" xfId="7" applyFont="1" applyFill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16" fontId="47" fillId="4" borderId="12" xfId="0" applyNumberFormat="1" applyFont="1" applyFill="1" applyBorder="1" applyAlignment="1">
      <alignment horizontal="center" vertical="center"/>
    </xf>
    <xf numFmtId="16" fontId="47" fillId="4" borderId="13" xfId="0" applyNumberFormat="1" applyFont="1" applyFill="1" applyBorder="1" applyAlignment="1">
      <alignment horizontal="center" vertical="center"/>
    </xf>
    <xf numFmtId="0" fontId="46" fillId="0" borderId="94" xfId="0" applyFont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6" fillId="4" borderId="25" xfId="0" applyFont="1" applyFill="1" applyBorder="1" applyAlignment="1">
      <alignment horizontal="left" vertical="center"/>
    </xf>
    <xf numFmtId="0" fontId="46" fillId="4" borderId="11" xfId="0" applyFont="1" applyFill="1" applyBorder="1" applyAlignment="1">
      <alignment horizontal="left" vertical="center"/>
    </xf>
    <xf numFmtId="0" fontId="46" fillId="4" borderId="29" xfId="0" applyFont="1" applyFill="1" applyBorder="1" applyAlignment="1">
      <alignment horizontal="left" vertical="center"/>
    </xf>
    <xf numFmtId="0" fontId="46" fillId="4" borderId="95" xfId="0" applyFont="1" applyFill="1" applyBorder="1" applyAlignment="1">
      <alignment horizontal="center" vertical="center"/>
    </xf>
    <xf numFmtId="0" fontId="46" fillId="4" borderId="96" xfId="0" applyFont="1" applyFill="1" applyBorder="1" applyAlignment="1">
      <alignment horizontal="center" vertical="center"/>
    </xf>
    <xf numFmtId="0" fontId="54" fillId="7" borderId="43" xfId="0" applyFont="1" applyFill="1" applyBorder="1" applyAlignment="1">
      <alignment horizontal="center" vertical="center"/>
    </xf>
    <xf numFmtId="16" fontId="47" fillId="4" borderId="4" xfId="0" applyNumberFormat="1" applyFont="1" applyFill="1" applyBorder="1" applyAlignment="1">
      <alignment horizontal="center" vertical="center"/>
    </xf>
    <xf numFmtId="16" fontId="47" fillId="4" borderId="2" xfId="0" applyNumberFormat="1" applyFont="1" applyFill="1" applyBorder="1" applyAlignment="1">
      <alignment horizontal="center" vertical="center"/>
    </xf>
    <xf numFmtId="16" fontId="47" fillId="0" borderId="6" xfId="0" applyNumberFormat="1" applyFont="1" applyBorder="1" applyAlignment="1">
      <alignment horizontal="center" vertical="center"/>
    </xf>
    <xf numFmtId="16" fontId="47" fillId="0" borderId="9" xfId="0" applyNumberFormat="1" applyFont="1" applyBorder="1" applyAlignment="1">
      <alignment horizontal="center" vertical="center"/>
    </xf>
    <xf numFmtId="16" fontId="47" fillId="4" borderId="3" xfId="0" applyNumberFormat="1" applyFont="1" applyFill="1" applyBorder="1" applyAlignment="1">
      <alignment horizontal="center" vertical="center"/>
    </xf>
    <xf numFmtId="16" fontId="47" fillId="0" borderId="4" xfId="0" applyNumberFormat="1" applyFont="1" applyBorder="1" applyAlignment="1">
      <alignment horizontal="center" vertical="center"/>
    </xf>
    <xf numFmtId="16" fontId="47" fillId="0" borderId="7" xfId="0" applyNumberFormat="1" applyFont="1" applyBorder="1" applyAlignment="1">
      <alignment horizontal="center" vertical="center"/>
    </xf>
    <xf numFmtId="16" fontId="56" fillId="0" borderId="23" xfId="0" applyNumberFormat="1" applyFont="1" applyBorder="1" applyAlignment="1">
      <alignment horizontal="center" vertical="center"/>
    </xf>
    <xf numFmtId="16" fontId="56" fillId="0" borderId="7" xfId="0" applyNumberFormat="1" applyFont="1" applyBorder="1" applyAlignment="1">
      <alignment horizontal="center" vertical="center"/>
    </xf>
    <xf numFmtId="16" fontId="47" fillId="0" borderId="10" xfId="0" applyNumberFormat="1" applyFont="1" applyBorder="1" applyAlignment="1">
      <alignment horizontal="center" vertical="center"/>
    </xf>
    <xf numFmtId="16" fontId="47" fillId="0" borderId="3" xfId="0" applyNumberFormat="1" applyFont="1" applyBorder="1" applyAlignment="1">
      <alignment horizontal="center" vertical="center"/>
    </xf>
    <xf numFmtId="16" fontId="56" fillId="0" borderId="28" xfId="0" applyNumberFormat="1" applyFont="1" applyBorder="1" applyAlignment="1">
      <alignment horizontal="center" vertical="center"/>
    </xf>
    <xf numFmtId="16" fontId="56" fillId="0" borderId="6" xfId="0" applyNumberFormat="1" applyFont="1" applyBorder="1" applyAlignment="1">
      <alignment horizontal="center" vertical="center"/>
    </xf>
    <xf numFmtId="16" fontId="47" fillId="4" borderId="9" xfId="0" applyNumberFormat="1" applyFont="1" applyFill="1" applyBorder="1" applyAlignment="1">
      <alignment horizontal="center" vertical="center"/>
    </xf>
    <xf numFmtId="16" fontId="47" fillId="4" borderId="23" xfId="6" applyNumberFormat="1" applyFont="1" applyFill="1" applyBorder="1" applyAlignment="1">
      <alignment horizontal="center" vertical="center"/>
    </xf>
    <xf numFmtId="0" fontId="47" fillId="4" borderId="7" xfId="6" applyFont="1" applyFill="1" applyBorder="1" applyAlignment="1">
      <alignment horizontal="center" vertical="center"/>
    </xf>
    <xf numFmtId="16" fontId="56" fillId="4" borderId="23" xfId="6" applyNumberFormat="1" applyFont="1" applyFill="1" applyBorder="1" applyAlignment="1">
      <alignment horizontal="center" vertical="center"/>
    </xf>
    <xf numFmtId="0" fontId="56" fillId="4" borderId="7" xfId="6" applyFont="1" applyFill="1" applyBorder="1" applyAlignment="1">
      <alignment horizontal="center" vertical="center"/>
    </xf>
    <xf numFmtId="16" fontId="47" fillId="4" borderId="7" xfId="6" applyNumberFormat="1" applyFont="1" applyFill="1" applyBorder="1" applyAlignment="1">
      <alignment horizontal="center" vertical="center"/>
    </xf>
    <xf numFmtId="0" fontId="47" fillId="4" borderId="10" xfId="6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0" fontId="47" fillId="4" borderId="9" xfId="6" applyFont="1" applyFill="1" applyBorder="1" applyAlignment="1">
      <alignment horizontal="center" vertical="center"/>
    </xf>
    <xf numFmtId="16" fontId="47" fillId="4" borderId="28" xfId="6" applyNumberFormat="1" applyFont="1" applyFill="1" applyBorder="1" applyAlignment="1">
      <alignment horizontal="center" vertical="center"/>
    </xf>
    <xf numFmtId="16" fontId="56" fillId="4" borderId="28" xfId="6" applyNumberFormat="1" applyFont="1" applyFill="1" applyBorder="1" applyAlignment="1">
      <alignment horizontal="center" vertical="center"/>
    </xf>
    <xf numFmtId="0" fontId="56" fillId="4" borderId="6" xfId="6" applyFont="1" applyFill="1" applyBorder="1" applyAlignment="1">
      <alignment horizontal="center" vertical="center"/>
    </xf>
    <xf numFmtId="16" fontId="47" fillId="4" borderId="6" xfId="6" applyNumberFormat="1" applyFont="1" applyFill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16" fontId="47" fillId="4" borderId="21" xfId="0" applyNumberFormat="1" applyFont="1" applyFill="1" applyBorder="1" applyAlignment="1">
      <alignment horizontal="center" vertical="center"/>
    </xf>
    <xf numFmtId="16" fontId="56" fillId="4" borderId="67" xfId="0" applyNumberFormat="1" applyFont="1" applyFill="1" applyBorder="1" applyAlignment="1">
      <alignment horizontal="center" vertical="center"/>
    </xf>
    <xf numFmtId="16" fontId="56" fillId="4" borderId="21" xfId="0" applyNumberFormat="1" applyFont="1" applyFill="1" applyBorder="1" applyAlignment="1">
      <alignment horizontal="center" vertical="center"/>
    </xf>
    <xf numFmtId="16" fontId="47" fillId="4" borderId="55" xfId="0" applyNumberFormat="1" applyFont="1" applyFill="1" applyBorder="1" applyAlignment="1">
      <alignment horizontal="center" vertical="center"/>
    </xf>
    <xf numFmtId="16" fontId="47" fillId="4" borderId="56" xfId="0" applyNumberFormat="1" applyFont="1" applyFill="1" applyBorder="1" applyAlignment="1">
      <alignment horizontal="center" vertical="center"/>
    </xf>
    <xf numFmtId="16" fontId="51" fillId="4" borderId="6" xfId="0" applyNumberFormat="1" applyFont="1" applyFill="1" applyBorder="1" applyAlignment="1">
      <alignment horizontal="center" vertical="center"/>
    </xf>
    <xf numFmtId="16" fontId="51" fillId="4" borderId="9" xfId="0" applyNumberFormat="1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51" fillId="4" borderId="3" xfId="0" applyNumberFormat="1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56" fillId="4" borderId="16" xfId="0" applyFont="1" applyFill="1" applyBorder="1" applyAlignment="1">
      <alignment horizontal="center" vertical="center"/>
    </xf>
    <xf numFmtId="0" fontId="50" fillId="8" borderId="26" xfId="0" quotePrefix="1" applyFont="1" applyFill="1" applyBorder="1" applyAlignment="1">
      <alignment horizontal="center" vertical="center"/>
    </xf>
    <xf numFmtId="0" fontId="50" fillId="8" borderId="6" xfId="0" applyFont="1" applyFill="1" applyBorder="1" applyAlignment="1">
      <alignment horizontal="center" vertical="center"/>
    </xf>
    <xf numFmtId="0" fontId="46" fillId="4" borderId="16" xfId="0" quotePrefix="1" applyFont="1" applyFill="1" applyBorder="1" applyAlignment="1">
      <alignment horizontal="center" vertical="center"/>
    </xf>
    <xf numFmtId="0" fontId="46" fillId="0" borderId="2" xfId="0" applyNumberFormat="1" applyFont="1" applyFill="1" applyBorder="1" applyAlignment="1">
      <alignment horizontal="left" vertical="center"/>
    </xf>
    <xf numFmtId="0" fontId="46" fillId="0" borderId="5" xfId="0" applyNumberFormat="1" applyFont="1" applyFill="1" applyBorder="1" applyAlignment="1">
      <alignment horizontal="left" vertical="center"/>
    </xf>
    <xf numFmtId="0" fontId="46" fillId="0" borderId="20" xfId="0" applyNumberFormat="1" applyFont="1" applyFill="1" applyBorder="1" applyAlignment="1">
      <alignment horizontal="left" vertical="center"/>
    </xf>
    <xf numFmtId="0" fontId="53" fillId="4" borderId="6" xfId="0" applyFont="1" applyFill="1" applyBorder="1" applyAlignment="1">
      <alignment horizontal="center" vertical="center"/>
    </xf>
    <xf numFmtId="0" fontId="56" fillId="4" borderId="14" xfId="0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39" xfId="0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center"/>
    </xf>
    <xf numFmtId="0" fontId="46" fillId="4" borderId="24" xfId="0" applyFont="1" applyFill="1" applyBorder="1" applyAlignment="1">
      <alignment horizontal="left" vertical="center"/>
    </xf>
    <xf numFmtId="0" fontId="52" fillId="0" borderId="34" xfId="0" applyFont="1" applyBorder="1" applyAlignment="1">
      <alignment horizontal="center" vertical="center"/>
    </xf>
    <xf numFmtId="0" fontId="52" fillId="0" borderId="7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9" fillId="7" borderId="3" xfId="0" applyFont="1" applyFill="1" applyBorder="1" applyAlignment="1">
      <alignment horizontal="center" vertical="center"/>
    </xf>
    <xf numFmtId="0" fontId="49" fillId="7" borderId="4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52" fillId="4" borderId="3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33" xfId="0" applyFont="1" applyFill="1" applyBorder="1" applyAlignment="1">
      <alignment horizontal="center" vertical="center"/>
    </xf>
    <xf numFmtId="0" fontId="52" fillId="4" borderId="34" xfId="0" applyFont="1" applyFill="1" applyBorder="1" applyAlignment="1">
      <alignment horizontal="center" vertical="center"/>
    </xf>
    <xf numFmtId="0" fontId="52" fillId="4" borderId="70" xfId="0" applyFont="1" applyFill="1" applyBorder="1" applyAlignment="1">
      <alignment horizontal="center" vertical="center"/>
    </xf>
    <xf numFmtId="0" fontId="45" fillId="4" borderId="49" xfId="0" applyFont="1" applyFill="1" applyBorder="1" applyAlignment="1">
      <alignment horizontal="center" vertical="center"/>
    </xf>
    <xf numFmtId="0" fontId="45" fillId="4" borderId="50" xfId="0" applyFont="1" applyFill="1" applyBorder="1" applyAlignment="1">
      <alignment horizontal="center" vertical="center"/>
    </xf>
    <xf numFmtId="0" fontId="45" fillId="4" borderId="35" xfId="0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/>
    </xf>
    <xf numFmtId="0" fontId="45" fillId="4" borderId="34" xfId="0" applyFont="1" applyFill="1" applyBorder="1" applyAlignment="1">
      <alignment horizontal="center" vertical="center"/>
    </xf>
    <xf numFmtId="16" fontId="47" fillId="0" borderId="23" xfId="0" applyNumberFormat="1" applyFont="1" applyFill="1" applyBorder="1" applyAlignment="1">
      <alignment horizontal="center" vertical="center"/>
    </xf>
    <xf numFmtId="16" fontId="47" fillId="0" borderId="7" xfId="0" applyNumberFormat="1" applyFont="1" applyFill="1" applyBorder="1" applyAlignment="1">
      <alignment horizontal="center" vertical="center"/>
    </xf>
    <xf numFmtId="16" fontId="47" fillId="0" borderId="10" xfId="0" applyNumberFormat="1" applyFont="1" applyFill="1" applyBorder="1" applyAlignment="1">
      <alignment horizontal="center" vertical="center"/>
    </xf>
    <xf numFmtId="16" fontId="47" fillId="0" borderId="28" xfId="0" applyNumberFormat="1" applyFont="1" applyFill="1" applyBorder="1" applyAlignment="1">
      <alignment horizontal="center" vertical="center"/>
    </xf>
    <xf numFmtId="16" fontId="47" fillId="0" borderId="6" xfId="0" applyNumberFormat="1" applyFont="1" applyFill="1" applyBorder="1" applyAlignment="1">
      <alignment horizontal="center" vertical="center"/>
    </xf>
    <xf numFmtId="16" fontId="47" fillId="0" borderId="9" xfId="0" applyNumberFormat="1" applyFont="1" applyFill="1" applyBorder="1" applyAlignment="1">
      <alignment horizontal="center" vertical="center"/>
    </xf>
    <xf numFmtId="16" fontId="47" fillId="4" borderId="26" xfId="0" applyNumberFormat="1" applyFont="1" applyFill="1" applyBorder="1" applyAlignment="1">
      <alignment horizontal="center" vertical="center"/>
    </xf>
    <xf numFmtId="16" fontId="47" fillId="4" borderId="18" xfId="0" applyNumberFormat="1" applyFont="1" applyFill="1" applyBorder="1" applyAlignment="1">
      <alignment horizontal="center" vertical="center"/>
    </xf>
    <xf numFmtId="16" fontId="47" fillId="4" borderId="27" xfId="0" applyNumberFormat="1" applyFont="1" applyFill="1" applyBorder="1" applyAlignment="1">
      <alignment horizontal="center" vertical="center"/>
    </xf>
    <xf numFmtId="16" fontId="47" fillId="4" borderId="15" xfId="0" applyNumberFormat="1" applyFont="1" applyFill="1" applyBorder="1" applyAlignment="1">
      <alignment horizontal="center" vertical="center"/>
    </xf>
    <xf numFmtId="16" fontId="47" fillId="4" borderId="66" xfId="0" applyNumberFormat="1" applyFont="1" applyFill="1" applyBorder="1" applyAlignment="1">
      <alignment horizontal="center" vertical="center"/>
    </xf>
    <xf numFmtId="16" fontId="47" fillId="4" borderId="1" xfId="0" applyNumberFormat="1" applyFont="1" applyFill="1" applyBorder="1" applyAlignment="1">
      <alignment horizontal="center" vertical="center"/>
    </xf>
    <xf numFmtId="16" fontId="47" fillId="4" borderId="22" xfId="0" applyNumberFormat="1" applyFont="1" applyFill="1" applyBorder="1" applyAlignment="1">
      <alignment horizontal="center" vertical="center"/>
    </xf>
    <xf numFmtId="16" fontId="47" fillId="4" borderId="65" xfId="0" applyNumberFormat="1" applyFont="1" applyFill="1" applyBorder="1" applyAlignment="1">
      <alignment horizontal="center" vertical="center"/>
    </xf>
    <xf numFmtId="16" fontId="47" fillId="4" borderId="63" xfId="0" applyNumberFormat="1" applyFont="1" applyFill="1" applyBorder="1" applyAlignment="1">
      <alignment horizontal="center" vertical="center"/>
    </xf>
    <xf numFmtId="16" fontId="47" fillId="4" borderId="24" xfId="0" applyNumberFormat="1" applyFont="1" applyFill="1" applyBorder="1" applyAlignment="1">
      <alignment horizontal="center" vertical="center"/>
    </xf>
    <xf numFmtId="16" fontId="47" fillId="4" borderId="29" xfId="0" applyNumberFormat="1" applyFont="1" applyFill="1" applyBorder="1" applyAlignment="1">
      <alignment horizontal="center" vertical="center"/>
    </xf>
    <xf numFmtId="16" fontId="47" fillId="0" borderId="20" xfId="0" applyNumberFormat="1" applyFont="1" applyFill="1" applyBorder="1" applyAlignment="1">
      <alignment horizontal="center" vertical="center"/>
    </xf>
    <xf numFmtId="16" fontId="47" fillId="0" borderId="5" xfId="0" applyNumberFormat="1" applyFont="1" applyFill="1" applyBorder="1" applyAlignment="1">
      <alignment horizontal="center" vertical="center"/>
    </xf>
    <xf numFmtId="16" fontId="47" fillId="0" borderId="8" xfId="0" applyNumberFormat="1" applyFont="1" applyFill="1" applyBorder="1" applyAlignment="1">
      <alignment horizontal="center" vertical="center"/>
    </xf>
    <xf numFmtId="16" fontId="47" fillId="0" borderId="2" xfId="0" applyNumberFormat="1" applyFont="1" applyFill="1" applyBorder="1" applyAlignment="1">
      <alignment horizontal="center" vertical="center"/>
    </xf>
    <xf numFmtId="0" fontId="54" fillId="7" borderId="34" xfId="0" applyFont="1" applyFill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40" fillId="8" borderId="28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50" fillId="8" borderId="28" xfId="0" applyFont="1" applyFill="1" applyBorder="1" applyAlignment="1">
      <alignment horizontal="center" vertical="center"/>
    </xf>
    <xf numFmtId="0" fontId="53" fillId="4" borderId="9" xfId="0" applyFont="1" applyFill="1" applyBorder="1" applyAlignment="1">
      <alignment horizontal="center" vertical="center"/>
    </xf>
    <xf numFmtId="0" fontId="54" fillId="7" borderId="33" xfId="0" applyFont="1" applyFill="1" applyBorder="1" applyAlignment="1">
      <alignment horizontal="left" vertical="center"/>
    </xf>
    <xf numFmtId="0" fontId="54" fillId="7" borderId="34" xfId="0" applyFont="1" applyFill="1" applyBorder="1" applyAlignment="1">
      <alignment horizontal="left" vertical="center"/>
    </xf>
    <xf numFmtId="0" fontId="46" fillId="4" borderId="20" xfId="0" quotePrefix="1" applyFont="1" applyFill="1" applyBorder="1" applyAlignment="1">
      <alignment horizontal="left" vertical="center"/>
    </xf>
    <xf numFmtId="0" fontId="46" fillId="0" borderId="20" xfId="0" applyFont="1" applyFill="1" applyBorder="1" applyAlignment="1">
      <alignment horizontal="left" vertical="center"/>
    </xf>
    <xf numFmtId="0" fontId="46" fillId="0" borderId="5" xfId="0" applyFont="1" applyFill="1" applyBorder="1" applyAlignment="1">
      <alignment horizontal="left" vertical="center"/>
    </xf>
    <xf numFmtId="166" fontId="46" fillId="0" borderId="20" xfId="0" applyNumberFormat="1" applyFont="1" applyFill="1" applyBorder="1" applyAlignment="1">
      <alignment horizontal="left" vertical="center"/>
    </xf>
    <xf numFmtId="166" fontId="46" fillId="0" borderId="5" xfId="0" applyNumberFormat="1" applyFont="1" applyFill="1" applyBorder="1" applyAlignment="1">
      <alignment horizontal="left" vertical="center"/>
    </xf>
    <xf numFmtId="166" fontId="46" fillId="0" borderId="8" xfId="0" applyNumberFormat="1" applyFont="1" applyFill="1" applyBorder="1" applyAlignment="1">
      <alignment horizontal="left" vertical="center"/>
    </xf>
    <xf numFmtId="0" fontId="45" fillId="0" borderId="53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50" fillId="8" borderId="3" xfId="0" quotePrefix="1" applyFont="1" applyFill="1" applyBorder="1" applyAlignment="1">
      <alignment horizontal="center" vertical="center"/>
    </xf>
    <xf numFmtId="167" fontId="50" fillId="8" borderId="28" xfId="0" applyNumberFormat="1" applyFont="1" applyFill="1" applyBorder="1" applyAlignment="1">
      <alignment horizontal="center" vertical="center"/>
    </xf>
    <xf numFmtId="167" fontId="47" fillId="4" borderId="6" xfId="0" applyNumberFormat="1" applyFont="1" applyFill="1" applyBorder="1" applyAlignment="1">
      <alignment horizontal="center" vertical="center"/>
    </xf>
    <xf numFmtId="167" fontId="47" fillId="4" borderId="28" xfId="0" applyNumberFormat="1" applyFont="1" applyFill="1" applyBorder="1" applyAlignment="1">
      <alignment horizontal="center" vertical="center"/>
    </xf>
    <xf numFmtId="167" fontId="50" fillId="8" borderId="6" xfId="0" applyNumberFormat="1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9" fillId="7" borderId="85" xfId="0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left" vertical="center"/>
    </xf>
    <xf numFmtId="0" fontId="49" fillId="7" borderId="57" xfId="0" applyFont="1" applyFill="1" applyBorder="1" applyAlignment="1">
      <alignment horizontal="center" vertical="center"/>
    </xf>
    <xf numFmtId="0" fontId="49" fillId="7" borderId="52" xfId="0" applyFont="1" applyFill="1" applyBorder="1" applyAlignment="1">
      <alignment horizontal="center" vertical="center"/>
    </xf>
    <xf numFmtId="0" fontId="49" fillId="7" borderId="86" xfId="0" applyFont="1" applyFill="1" applyBorder="1" applyAlignment="1">
      <alignment horizontal="center" vertical="center"/>
    </xf>
    <xf numFmtId="0" fontId="49" fillId="7" borderId="87" xfId="0" applyFont="1" applyFill="1" applyBorder="1" applyAlignment="1">
      <alignment horizontal="center" vertical="center"/>
    </xf>
    <xf numFmtId="0" fontId="45" fillId="4" borderId="42" xfId="0" applyFont="1" applyFill="1" applyBorder="1" applyAlignment="1">
      <alignment horizontal="center" vertical="center"/>
    </xf>
    <xf numFmtId="0" fontId="45" fillId="4" borderId="43" xfId="0" applyFont="1" applyFill="1" applyBorder="1" applyAlignment="1">
      <alignment horizontal="center" vertical="center"/>
    </xf>
    <xf numFmtId="0" fontId="45" fillId="4" borderId="48" xfId="0" applyFont="1" applyFill="1" applyBorder="1" applyAlignment="1">
      <alignment horizontal="center" vertical="center"/>
    </xf>
    <xf numFmtId="0" fontId="49" fillId="7" borderId="12" xfId="0" applyFont="1" applyFill="1" applyBorder="1" applyAlignment="1">
      <alignment horizontal="center" vertical="center"/>
    </xf>
    <xf numFmtId="0" fontId="45" fillId="4" borderId="52" xfId="0" applyFont="1" applyFill="1" applyBorder="1" applyAlignment="1">
      <alignment horizontal="center" vertical="center"/>
    </xf>
    <xf numFmtId="0" fontId="45" fillId="4" borderId="86" xfId="0" applyFont="1" applyFill="1" applyBorder="1" applyAlignment="1">
      <alignment horizontal="center" vertical="center"/>
    </xf>
    <xf numFmtId="0" fontId="45" fillId="4" borderId="87" xfId="0" applyFont="1" applyFill="1" applyBorder="1" applyAlignment="1">
      <alignment horizontal="center" vertical="center"/>
    </xf>
    <xf numFmtId="0" fontId="45" fillId="4" borderId="85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0" fillId="0" borderId="33" xfId="5" applyFont="1" applyFill="1" applyBorder="1" applyAlignment="1">
      <alignment horizontal="center" vertical="center"/>
    </xf>
    <xf numFmtId="0" fontId="40" fillId="0" borderId="34" xfId="5" applyFont="1" applyFill="1" applyBorder="1" applyAlignment="1">
      <alignment horizontal="center" vertical="center"/>
    </xf>
    <xf numFmtId="0" fontId="40" fillId="0" borderId="35" xfId="5" applyFont="1" applyFill="1" applyBorder="1" applyAlignment="1">
      <alignment horizontal="center" vertical="center"/>
    </xf>
    <xf numFmtId="0" fontId="40" fillId="0" borderId="38" xfId="5" applyFont="1" applyFill="1" applyBorder="1" applyAlignment="1">
      <alignment horizontal="center" vertical="center"/>
    </xf>
    <xf numFmtId="0" fontId="40" fillId="0" borderId="39" xfId="5" applyFont="1" applyFill="1" applyBorder="1" applyAlignment="1">
      <alignment horizontal="center" vertical="center"/>
    </xf>
    <xf numFmtId="0" fontId="40" fillId="0" borderId="42" xfId="5" applyFont="1" applyFill="1" applyBorder="1" applyAlignment="1">
      <alignment horizontal="center" vertical="center"/>
    </xf>
    <xf numFmtId="0" fontId="40" fillId="0" borderId="43" xfId="5" applyFont="1" applyFill="1" applyBorder="1" applyAlignment="1">
      <alignment horizontal="center" vertical="center"/>
    </xf>
    <xf numFmtId="0" fontId="40" fillId="0" borderId="48" xfId="5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F43" sqref="F43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21" t="s">
        <v>0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210"/>
    </row>
    <row r="3" spans="1:15" ht="28.15" customHeight="1">
      <c r="A3" s="1122"/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</row>
    <row r="4" spans="1:15" ht="28.15" customHeight="1">
      <c r="A4" s="1123" t="s">
        <v>4602</v>
      </c>
      <c r="B4" s="1123"/>
      <c r="C4" s="1123"/>
      <c r="D4" s="1123"/>
      <c r="E4" s="1123"/>
      <c r="F4" s="1123"/>
      <c r="G4" s="1123"/>
      <c r="H4" s="1123"/>
      <c r="I4" s="1123"/>
      <c r="J4" s="1123"/>
      <c r="K4" s="1123"/>
      <c r="L4" s="1123"/>
      <c r="M4" s="1123"/>
      <c r="N4" s="1123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124" t="s">
        <v>33</v>
      </c>
      <c r="I7" s="1124"/>
      <c r="J7" s="1124"/>
      <c r="K7" s="1090" t="s">
        <v>2</v>
      </c>
      <c r="L7" s="1091"/>
      <c r="M7" s="1092"/>
      <c r="N7" s="378"/>
      <c r="O7" s="379"/>
    </row>
    <row r="8" spans="1:15" ht="19.899999999999999" hidden="1" customHeight="1">
      <c r="A8" s="1093" t="s">
        <v>3</v>
      </c>
      <c r="B8" s="1095" t="s">
        <v>4</v>
      </c>
      <c r="C8" s="1095" t="s">
        <v>5</v>
      </c>
      <c r="D8" s="1095" t="s">
        <v>4291</v>
      </c>
      <c r="E8" s="1109" t="s">
        <v>6</v>
      </c>
      <c r="F8" s="1110"/>
      <c r="G8" s="1111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094"/>
      <c r="B9" s="1096"/>
      <c r="C9" s="1096"/>
      <c r="D9" s="1096"/>
      <c r="E9" s="1096" t="s">
        <v>13</v>
      </c>
      <c r="F9" s="1099" t="s">
        <v>14</v>
      </c>
      <c r="G9" s="1100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094"/>
      <c r="B10" s="1096"/>
      <c r="C10" s="1096"/>
      <c r="D10" s="1096"/>
      <c r="E10" s="1096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4387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4388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4414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4416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4415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4417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4432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4418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04"/>
      <c r="O14" s="1106"/>
    </row>
    <row r="15" spans="1:15" ht="24.75" hidden="1" customHeight="1">
      <c r="A15" s="576">
        <f>A14+1</f>
        <v>13</v>
      </c>
      <c r="B15" s="577" t="s">
        <v>29</v>
      </c>
      <c r="C15" s="493"/>
      <c r="D15" s="961" t="e">
        <f>VLOOKUP(C15,'ships name'!B:C,2,FALSE)</f>
        <v>#N/A</v>
      </c>
      <c r="E15" s="959" t="str">
        <f>LEFT(F15,3)&amp;"N"</f>
        <v xml:space="preserve"> SN</v>
      </c>
      <c r="F15" s="960" t="str">
        <f>RIGHT(B15,3)&amp;"S"</f>
        <v xml:space="preserve"> S</v>
      </c>
      <c r="G15" s="962" t="s">
        <v>4419</v>
      </c>
      <c r="H15" s="963"/>
      <c r="I15" s="963">
        <f t="shared" si="0"/>
        <v>43553</v>
      </c>
      <c r="J15" s="964">
        <f t="shared" si="0"/>
        <v>43554</v>
      </c>
      <c r="K15" s="965">
        <f>J15+19</f>
        <v>43573</v>
      </c>
      <c r="L15" s="963">
        <f>J15+22</f>
        <v>43576</v>
      </c>
      <c r="M15" s="964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87" t="s">
        <v>3528</v>
      </c>
      <c r="B17" s="1088"/>
      <c r="C17" s="1088"/>
      <c r="D17" s="477"/>
      <c r="E17" s="450" t="s">
        <v>3771</v>
      </c>
      <c r="F17" s="450"/>
      <c r="G17" s="450"/>
      <c r="H17" s="1089" t="s">
        <v>3529</v>
      </c>
      <c r="I17" s="1089"/>
      <c r="J17" s="1089"/>
      <c r="K17" s="1090" t="s">
        <v>2</v>
      </c>
      <c r="L17" s="1091"/>
      <c r="M17" s="1092"/>
    </row>
    <row r="18" spans="1:15" ht="19.899999999999999" customHeight="1">
      <c r="A18" s="1093" t="s">
        <v>3</v>
      </c>
      <c r="B18" s="1095" t="s">
        <v>4</v>
      </c>
      <c r="C18" s="1095" t="s">
        <v>5</v>
      </c>
      <c r="D18" s="1095" t="s">
        <v>4291</v>
      </c>
      <c r="E18" s="1109" t="s">
        <v>6</v>
      </c>
      <c r="F18" s="1110"/>
      <c r="G18" s="1111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094"/>
      <c r="B19" s="1096"/>
      <c r="C19" s="1096"/>
      <c r="D19" s="1096"/>
      <c r="E19" s="1096" t="s">
        <v>13</v>
      </c>
      <c r="F19" s="1099" t="s">
        <v>14</v>
      </c>
      <c r="G19" s="1100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094"/>
      <c r="B20" s="1096"/>
      <c r="C20" s="1096"/>
      <c r="D20" s="1096"/>
      <c r="E20" s="1096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23</v>
      </c>
      <c r="B21" s="570" t="s">
        <v>140</v>
      </c>
      <c r="C21" s="493" t="str">
        <f>VLOOKUP(LEFT(B21,3),'ships name'!A:C,2,FALSE)</f>
        <v xml:space="preserve">void sailing </v>
      </c>
      <c r="D21" s="809">
        <f>VLOOKUP(C21,'ships name'!B:C,2,FALSE)</f>
        <v>0</v>
      </c>
      <c r="E21" s="804" t="str">
        <f>LEFT(F21,3)&amp;"N"</f>
        <v>OIDN</v>
      </c>
      <c r="F21" s="804" t="str">
        <f>RIGHT(B21,3)&amp;"S"</f>
        <v>OIDS</v>
      </c>
      <c r="G21" s="475" t="s">
        <v>4607</v>
      </c>
      <c r="H21" s="571">
        <f>I21-1</f>
        <v>43620</v>
      </c>
      <c r="I21" s="571">
        <f>J21-1</f>
        <v>43621</v>
      </c>
      <c r="J21" s="572">
        <v>43622</v>
      </c>
      <c r="K21" s="573">
        <f>J21+15</f>
        <v>43637</v>
      </c>
      <c r="L21" s="571">
        <f>J21+12</f>
        <v>43634</v>
      </c>
      <c r="M21" s="574">
        <f>J21+18</f>
        <v>43640</v>
      </c>
      <c r="N21" s="174"/>
      <c r="O21" s="174"/>
    </row>
    <row r="22" spans="1:15" ht="19.899999999999999" customHeight="1">
      <c r="A22" s="569">
        <f>A21+1</f>
        <v>24</v>
      </c>
      <c r="B22" s="570" t="s">
        <v>4603</v>
      </c>
      <c r="C22" s="493" t="str">
        <f>VLOOKUP(LEFT(B22,3),'ships name'!A:C,2,FALSE)</f>
        <v>YM SEATTLE</v>
      </c>
      <c r="D22" s="809" t="str">
        <f>VLOOKUP(C22,'ships name'!B:C,2,FALSE)</f>
        <v>阳明西雅图</v>
      </c>
      <c r="E22" s="820" t="str">
        <f>LEFT(F22,3)&amp;"N"</f>
        <v>092N</v>
      </c>
      <c r="F22" s="804" t="str">
        <f>RIGHT(B22,3)&amp;"S"</f>
        <v>092S</v>
      </c>
      <c r="G22" s="475" t="s">
        <v>4608</v>
      </c>
      <c r="H22" s="571">
        <f>H21+7</f>
        <v>43627</v>
      </c>
      <c r="I22" s="571">
        <f>I21+7</f>
        <v>43628</v>
      </c>
      <c r="J22" s="572">
        <f>J21+7</f>
        <v>43629</v>
      </c>
      <c r="K22" s="573">
        <f>J22+15</f>
        <v>43644</v>
      </c>
      <c r="L22" s="571">
        <f>J22+12</f>
        <v>43641</v>
      </c>
      <c r="M22" s="574">
        <f>J22+18</f>
        <v>43647</v>
      </c>
    </row>
    <row r="23" spans="1:15" ht="19.899999999999999" customHeight="1">
      <c r="A23" s="569">
        <f>A22+1</f>
        <v>25</v>
      </c>
      <c r="B23" s="570" t="s">
        <v>4604</v>
      </c>
      <c r="C23" s="493" t="str">
        <f>VLOOKUP(LEFT(B23,3),'ships name'!A:C,2,FALSE)</f>
        <v>SC MARA</v>
      </c>
      <c r="D23" s="809" t="str">
        <f>VLOOKUP(C23,'ships name'!B:C,2,FALSE)</f>
        <v xml:space="preserve"> </v>
      </c>
      <c r="E23" s="820" t="str">
        <f>LEFT(F23,3)&amp;"N"</f>
        <v>068N</v>
      </c>
      <c r="F23" s="804" t="str">
        <f>RIGHT(B23,3)&amp;"S"</f>
        <v>068S</v>
      </c>
      <c r="G23" s="475" t="s">
        <v>4609</v>
      </c>
      <c r="H23" s="571">
        <f>H22+7</f>
        <v>43634</v>
      </c>
      <c r="I23" s="571">
        <f>H23+1</f>
        <v>43635</v>
      </c>
      <c r="J23" s="572">
        <f>J22+7</f>
        <v>43636</v>
      </c>
      <c r="K23" s="573">
        <f>J23+15</f>
        <v>43651</v>
      </c>
      <c r="L23" s="571">
        <f>J23+12</f>
        <v>43648</v>
      </c>
      <c r="M23" s="574">
        <f>J23+18</f>
        <v>43654</v>
      </c>
    </row>
    <row r="24" spans="1:15" ht="19.899999999999999" customHeight="1">
      <c r="A24" s="569">
        <f>A23+1</f>
        <v>26</v>
      </c>
      <c r="B24" s="570" t="s">
        <v>4605</v>
      </c>
      <c r="C24" s="493" t="str">
        <f>VLOOKUP(LEFT(B24,3),'ships name'!A:C,2,FALSE)</f>
        <v>CMA CGM EIFFEL</v>
      </c>
      <c r="D24" s="809" t="str">
        <f>VLOOKUP(C24,'ships name'!B:C,2,FALSE)</f>
        <v>达飞埃菲尔</v>
      </c>
      <c r="E24" s="820" t="str">
        <f>LEFT(F24,3)&amp;"N"</f>
        <v>024N</v>
      </c>
      <c r="F24" s="804" t="str">
        <f>RIGHT(B24,3)&amp;"S"</f>
        <v>024S</v>
      </c>
      <c r="G24" s="475" t="s">
        <v>4610</v>
      </c>
      <c r="H24" s="571">
        <f>H23+7</f>
        <v>43641</v>
      </c>
      <c r="I24" s="571">
        <f>H24+1</f>
        <v>43642</v>
      </c>
      <c r="J24" s="572">
        <f>J23+7</f>
        <v>43643</v>
      </c>
      <c r="K24" s="573">
        <f>J24+15</f>
        <v>43658</v>
      </c>
      <c r="L24" s="571">
        <f>J24+12</f>
        <v>43655</v>
      </c>
      <c r="M24" s="574">
        <f>J24+18</f>
        <v>43661</v>
      </c>
      <c r="N24" s="1104"/>
      <c r="O24" s="1105"/>
    </row>
    <row r="25" spans="1:15" ht="19.899999999999999" customHeight="1">
      <c r="A25" s="576">
        <f>A24+1</f>
        <v>27</v>
      </c>
      <c r="B25" s="577" t="s">
        <v>4606</v>
      </c>
      <c r="C25" s="493" t="str">
        <f>VLOOKUP(LEFT(B25,3),'ships name'!A:C,2,FALSE)</f>
        <v>ITAL LAGUNA</v>
      </c>
      <c r="D25" s="809" t="str">
        <f>VLOOKUP(C25,'ships name'!B:C,2,FALSE)</f>
        <v xml:space="preserve"> </v>
      </c>
      <c r="E25" s="820" t="str">
        <f>LEFT(F25,3)&amp;"N"</f>
        <v>086N</v>
      </c>
      <c r="F25" s="804" t="str">
        <f>RIGHT(B25,3)&amp;"S"</f>
        <v>086S</v>
      </c>
      <c r="G25" s="475" t="s">
        <v>4611</v>
      </c>
      <c r="H25" s="571">
        <f>H23+14</f>
        <v>43648</v>
      </c>
      <c r="I25" s="571">
        <f>H25+1</f>
        <v>43649</v>
      </c>
      <c r="J25" s="574">
        <f>J24+7</f>
        <v>43650</v>
      </c>
      <c r="K25" s="573">
        <f>J25+15</f>
        <v>43665</v>
      </c>
      <c r="L25" s="571">
        <f>J25+12</f>
        <v>43662</v>
      </c>
      <c r="M25" s="574">
        <f>J25+18</f>
        <v>43668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87" t="s">
        <v>4154</v>
      </c>
      <c r="B27" s="1088"/>
      <c r="C27" s="1088"/>
      <c r="D27" s="477"/>
      <c r="E27" s="450" t="s">
        <v>74</v>
      </c>
      <c r="F27" s="450" t="s">
        <v>4161</v>
      </c>
      <c r="G27" s="450"/>
      <c r="H27" s="1089" t="s">
        <v>4162</v>
      </c>
      <c r="I27" s="1089"/>
      <c r="J27" s="1089"/>
      <c r="K27" s="1090" t="s">
        <v>2</v>
      </c>
      <c r="L27" s="1091"/>
      <c r="M27" s="1092"/>
    </row>
    <row r="28" spans="1:15" ht="19.899999999999999" customHeight="1">
      <c r="A28" s="1093" t="s">
        <v>3</v>
      </c>
      <c r="B28" s="1095" t="s">
        <v>4</v>
      </c>
      <c r="C28" s="1095" t="s">
        <v>5</v>
      </c>
      <c r="D28" s="1095" t="s">
        <v>4291</v>
      </c>
      <c r="E28" s="1109" t="s">
        <v>6</v>
      </c>
      <c r="F28" s="1110"/>
      <c r="G28" s="1111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094"/>
      <c r="B29" s="1096"/>
      <c r="C29" s="1096"/>
      <c r="D29" s="1096"/>
      <c r="E29" s="1096" t="s">
        <v>13</v>
      </c>
      <c r="F29" s="1099" t="s">
        <v>14</v>
      </c>
      <c r="G29" s="1100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094"/>
      <c r="B30" s="1096"/>
      <c r="C30" s="1096"/>
      <c r="D30" s="1096"/>
      <c r="E30" s="1096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22</v>
      </c>
      <c r="B31" s="570" t="s">
        <v>4527</v>
      </c>
      <c r="C31" s="493" t="str">
        <f>VLOOKUP(LEFT(B31,3),'ships name'!A:C,2,FALSE)</f>
        <v>ITAL MODERNA</v>
      </c>
      <c r="D31" s="809" t="str">
        <f>VLOOKUP(C31,'ships name'!B:C,2,FALSE)</f>
        <v xml:space="preserve"> </v>
      </c>
      <c r="E31" s="804" t="str">
        <f>LEFT(F31,3)&amp;"N"</f>
        <v>123N</v>
      </c>
      <c r="F31" s="804" t="str">
        <f>RIGHT(B31,3)&amp;"S"</f>
        <v>123S</v>
      </c>
      <c r="G31" s="475" t="s">
        <v>4529</v>
      </c>
      <c r="H31" s="571">
        <f>I31-1</f>
        <v>43615</v>
      </c>
      <c r="I31" s="571">
        <f>J31-1</f>
        <v>43616</v>
      </c>
      <c r="J31" s="572">
        <v>43617</v>
      </c>
      <c r="K31" s="573">
        <f>J31+16</f>
        <v>43633</v>
      </c>
      <c r="L31" s="571">
        <f>J31+19</f>
        <v>43636</v>
      </c>
      <c r="M31" s="574">
        <f>J31+23</f>
        <v>43640</v>
      </c>
      <c r="N31" s="174"/>
      <c r="O31" s="174"/>
    </row>
    <row r="32" spans="1:15" ht="19.899999999999999" customHeight="1">
      <c r="A32" s="569">
        <f>A31+1</f>
        <v>23</v>
      </c>
      <c r="B32" s="570" t="s">
        <v>4612</v>
      </c>
      <c r="C32" s="493" t="str">
        <f>VLOOKUP(LEFT(B32,3),'ships name'!A:C,2,FALSE)</f>
        <v>MP THE EDELMAN</v>
      </c>
      <c r="D32" s="809" t="str">
        <f>VLOOKUP(C32,'ships name'!B:C,2,FALSE)</f>
        <v xml:space="preserve"> </v>
      </c>
      <c r="E32" s="820" t="str">
        <f>LEFT(F32,3)&amp;"N"</f>
        <v>009N</v>
      </c>
      <c r="F32" s="804" t="str">
        <f>RIGHT(B32,3)&amp;"S"</f>
        <v>009S</v>
      </c>
      <c r="G32" s="475" t="s">
        <v>4616</v>
      </c>
      <c r="H32" s="571">
        <f t="shared" ref="H32" si="1">I32-1</f>
        <v>43622</v>
      </c>
      <c r="I32" s="571">
        <f t="shared" ref="I32:J35" si="2">I31+7</f>
        <v>43623</v>
      </c>
      <c r="J32" s="572">
        <f t="shared" si="2"/>
        <v>43624</v>
      </c>
      <c r="K32" s="573">
        <f t="shared" ref="K32" si="3">J32+16</f>
        <v>43640</v>
      </c>
      <c r="L32" s="571">
        <f t="shared" ref="L32" si="4">J32+19</f>
        <v>43643</v>
      </c>
      <c r="M32" s="574">
        <f t="shared" ref="M32" si="5">J32+23</f>
        <v>43647</v>
      </c>
    </row>
    <row r="33" spans="1:21" ht="19.899999999999999" customHeight="1">
      <c r="A33" s="569">
        <f>A32+1</f>
        <v>24</v>
      </c>
      <c r="B33" s="570" t="s">
        <v>4613</v>
      </c>
      <c r="C33" s="493" t="str">
        <f>VLOOKUP(LEFT(B33,3),'ships name'!A:C,2,FALSE)</f>
        <v>PAMINA</v>
      </c>
      <c r="D33" s="809" t="str">
        <f>VLOOKUP(C33,'ships name'!B:C,2,FALSE)</f>
        <v xml:space="preserve"> </v>
      </c>
      <c r="E33" s="820" t="str">
        <f>LEFT(F33,3)&amp;"N"</f>
        <v>009N</v>
      </c>
      <c r="F33" s="804" t="str">
        <f>RIGHT(B33,3)&amp;"S"</f>
        <v>009S</v>
      </c>
      <c r="G33" s="475" t="s">
        <v>4617</v>
      </c>
      <c r="H33" s="571">
        <f t="shared" ref="H33" si="6">I33-1</f>
        <v>43629</v>
      </c>
      <c r="I33" s="571">
        <f t="shared" si="2"/>
        <v>43630</v>
      </c>
      <c r="J33" s="572">
        <f t="shared" si="2"/>
        <v>43631</v>
      </c>
      <c r="K33" s="573">
        <f t="shared" ref="K33" si="7">J33+16</f>
        <v>43647</v>
      </c>
      <c r="L33" s="571">
        <f t="shared" ref="L33" si="8">J33+19</f>
        <v>43650</v>
      </c>
      <c r="M33" s="574">
        <f t="shared" ref="M33" si="9">J33+23</f>
        <v>43654</v>
      </c>
    </row>
    <row r="34" spans="1:21" ht="19.899999999999999" customHeight="1">
      <c r="A34" s="569">
        <f>A33+1</f>
        <v>25</v>
      </c>
      <c r="B34" s="570" t="s">
        <v>4614</v>
      </c>
      <c r="C34" s="493" t="str">
        <f>VLOOKUP(LEFT(B34,3),'ships name'!A:C,2,FALSE)</f>
        <v xml:space="preserve">ITAL MELODIA </v>
      </c>
      <c r="D34" s="809">
        <f>VLOOKUP(C34,'ships name'!B:C,2,FALSE)</f>
        <v>0</v>
      </c>
      <c r="E34" s="820" t="str">
        <f>LEFT(F34,3)&amp;"N"</f>
        <v>142N</v>
      </c>
      <c r="F34" s="804" t="str">
        <f>RIGHT(B34,3)&amp;"S"</f>
        <v>142S</v>
      </c>
      <c r="G34" s="475" t="s">
        <v>4618</v>
      </c>
      <c r="H34" s="571">
        <f t="shared" ref="H34" si="10">I34-1</f>
        <v>43636</v>
      </c>
      <c r="I34" s="571">
        <f t="shared" si="2"/>
        <v>43637</v>
      </c>
      <c r="J34" s="572">
        <f t="shared" si="2"/>
        <v>43638</v>
      </c>
      <c r="K34" s="573">
        <f t="shared" ref="K34" si="11">J34+16</f>
        <v>43654</v>
      </c>
      <c r="L34" s="571">
        <f t="shared" ref="L34" si="12">J34+19</f>
        <v>43657</v>
      </c>
      <c r="M34" s="574">
        <f t="shared" ref="M34" si="13">J34+23</f>
        <v>43661</v>
      </c>
      <c r="N34" s="1104"/>
      <c r="O34" s="1105"/>
    </row>
    <row r="35" spans="1:21" ht="19.899999999999999" customHeight="1" thickBot="1">
      <c r="A35" s="569">
        <f>A34+1</f>
        <v>26</v>
      </c>
      <c r="B35" s="570" t="s">
        <v>4615</v>
      </c>
      <c r="C35" s="493" t="str">
        <f>VLOOKUP(LEFT(B35,3),'ships name'!A:C,2,FALSE)</f>
        <v>CMA CGM PUGET</v>
      </c>
      <c r="D35" s="809">
        <f>VLOOKUP(C35,'ships name'!B:C,2,FALSE)</f>
        <v>0</v>
      </c>
      <c r="E35" s="820" t="str">
        <f>LEFT(F35,3)&amp;"N"</f>
        <v>009N</v>
      </c>
      <c r="F35" s="804" t="str">
        <f>RIGHT(B35,3)&amp;"S"</f>
        <v>009S</v>
      </c>
      <c r="G35" s="475" t="s">
        <v>4619</v>
      </c>
      <c r="H35" s="571">
        <f t="shared" ref="H35" si="14">I35-1</f>
        <v>43643</v>
      </c>
      <c r="I35" s="580">
        <f t="shared" si="2"/>
        <v>43644</v>
      </c>
      <c r="J35" s="574">
        <f t="shared" si="2"/>
        <v>43645</v>
      </c>
      <c r="K35" s="573">
        <f t="shared" ref="K35" si="15">J35+16</f>
        <v>43661</v>
      </c>
      <c r="L35" s="571">
        <f t="shared" ref="L35" si="16">J35+19</f>
        <v>43664</v>
      </c>
      <c r="M35" s="574">
        <f t="shared" ref="M35" si="17">J35+23</f>
        <v>43668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13" t="s">
        <v>73</v>
      </c>
      <c r="B37" s="1114"/>
      <c r="C37" s="1114"/>
      <c r="D37" s="480"/>
      <c r="E37" s="1107" t="s">
        <v>74</v>
      </c>
      <c r="F37" s="1107"/>
      <c r="G37" s="1107"/>
      <c r="H37" s="1107"/>
      <c r="I37" s="1107" t="s">
        <v>75</v>
      </c>
      <c r="J37" s="1108"/>
      <c r="K37" s="1101" t="s">
        <v>2</v>
      </c>
      <c r="L37" s="1102"/>
      <c r="M37" s="1102"/>
      <c r="N37" s="1102"/>
      <c r="O37" s="1102"/>
      <c r="P37" s="1103"/>
      <c r="Q37" s="102"/>
      <c r="R37" s="102"/>
      <c r="S37" s="102"/>
      <c r="T37" s="102"/>
      <c r="U37" s="102"/>
    </row>
    <row r="38" spans="1:21" s="290" customFormat="1" ht="19.899999999999999" customHeight="1">
      <c r="A38" s="1115" t="s">
        <v>3</v>
      </c>
      <c r="B38" s="1118" t="s">
        <v>4</v>
      </c>
      <c r="C38" s="1118" t="s">
        <v>5</v>
      </c>
      <c r="D38" s="1095" t="s">
        <v>4291</v>
      </c>
      <c r="E38" s="1109" t="s">
        <v>6</v>
      </c>
      <c r="F38" s="1110"/>
      <c r="G38" s="1111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16"/>
      <c r="B39" s="1119"/>
      <c r="C39" s="1119"/>
      <c r="D39" s="1097"/>
      <c r="E39" s="1097" t="s">
        <v>13</v>
      </c>
      <c r="F39" s="1099" t="s">
        <v>14</v>
      </c>
      <c r="G39" s="1100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7"/>
      <c r="B40" s="1120"/>
      <c r="C40" s="1120"/>
      <c r="D40" s="1098"/>
      <c r="E40" s="1098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22</v>
      </c>
      <c r="B41" s="595" t="s">
        <v>4530</v>
      </c>
      <c r="C41" s="493" t="str">
        <f>VLOOKUP(LEFT(B41,3),'ships name'!A:C,2,FALSE)</f>
        <v>APL DENVER</v>
      </c>
      <c r="D41" s="809">
        <f>VLOOKUP(C41,'ships name'!B:C,2,FALSE)</f>
        <v>0</v>
      </c>
      <c r="E41" s="957" t="str">
        <f>LEFT(F41,6)</f>
        <v>307S</v>
      </c>
      <c r="F41" s="990" t="str">
        <f>RIGHT(B41,3)&amp;"S"</f>
        <v>307S</v>
      </c>
      <c r="G41" s="481" t="s">
        <v>4531</v>
      </c>
      <c r="H41" s="583">
        <f>I41-2</f>
        <v>43615</v>
      </c>
      <c r="I41" s="583">
        <f>J41</f>
        <v>43617</v>
      </c>
      <c r="J41" s="584">
        <v>43617</v>
      </c>
      <c r="K41" s="585">
        <f>J41+16</f>
        <v>43633</v>
      </c>
      <c r="L41" s="583">
        <f>J41+21</f>
        <v>43638</v>
      </c>
      <c r="M41" s="583">
        <f>J41+25</f>
        <v>43642</v>
      </c>
      <c r="N41" s="584">
        <f>J41+26</f>
        <v>43643</v>
      </c>
      <c r="O41" s="583">
        <f>J41+28</f>
        <v>43645</v>
      </c>
      <c r="P41" s="586">
        <f>J41+29</f>
        <v>43646</v>
      </c>
    </row>
    <row r="42" spans="1:21" s="290" customFormat="1" ht="19.899999999999999" customHeight="1">
      <c r="A42" s="595">
        <f t="shared" ref="A42:A45" si="18">A32</f>
        <v>23</v>
      </c>
      <c r="B42" s="582" t="s">
        <v>4620</v>
      </c>
      <c r="C42" s="493" t="str">
        <f>VLOOKUP(LEFT(B42,3),'ships name'!A:C,2,FALSE)</f>
        <v>CMA CGM CORAL</v>
      </c>
      <c r="D42" s="809" t="str">
        <f>VLOOKUP(C42,'ships name'!B:C,2,FALSE)</f>
        <v xml:space="preserve"> </v>
      </c>
      <c r="E42" s="820" t="e">
        <f>LEFT(F42,3)-1&amp;"E"</f>
        <v>#VALUE!</v>
      </c>
      <c r="F42" s="990" t="str">
        <f>LEFT(G42,6)</f>
        <v>0ZE3LS</v>
      </c>
      <c r="G42" s="481" t="s">
        <v>4624</v>
      </c>
      <c r="H42" s="588">
        <f>I42-2</f>
        <v>43622</v>
      </c>
      <c r="I42" s="588">
        <f>J42</f>
        <v>43624</v>
      </c>
      <c r="J42" s="589">
        <f>J41+7</f>
        <v>43624</v>
      </c>
      <c r="K42" s="590">
        <f>J42+16</f>
        <v>43640</v>
      </c>
      <c r="L42" s="588">
        <f>J42+21</f>
        <v>43645</v>
      </c>
      <c r="M42" s="588">
        <f>J42+25</f>
        <v>43649</v>
      </c>
      <c r="N42" s="589">
        <f>J42+26</f>
        <v>43650</v>
      </c>
      <c r="O42" s="588">
        <f>J42+28</f>
        <v>43652</v>
      </c>
      <c r="P42" s="591">
        <f>J42+29</f>
        <v>43653</v>
      </c>
    </row>
    <row r="43" spans="1:21" s="290" customFormat="1" ht="19.899999999999999" customHeight="1">
      <c r="A43" s="595">
        <f t="shared" si="18"/>
        <v>24</v>
      </c>
      <c r="B43" s="582" t="s">
        <v>4621</v>
      </c>
      <c r="C43" s="493" t="str">
        <f>VLOOKUP(LEFT(B43,3),'ships name'!A:C,2,FALSE)</f>
        <v>OOCL Busan</v>
      </c>
      <c r="D43" s="809" t="str">
        <f>VLOOKUP(C43,'ships name'!B:C,2,FALSE)</f>
        <v>东方釜山</v>
      </c>
      <c r="E43" s="820" t="e">
        <f>LEFT(F43,3)-1&amp;"E"</f>
        <v>#VALUE!</v>
      </c>
      <c r="F43" s="990" t="str">
        <f>LEFT(G43,6)</f>
        <v>0ZE3NS</v>
      </c>
      <c r="G43" s="481" t="s">
        <v>4625</v>
      </c>
      <c r="H43" s="588">
        <f>I43-2</f>
        <v>43629</v>
      </c>
      <c r="I43" s="588">
        <f>J43</f>
        <v>43631</v>
      </c>
      <c r="J43" s="589">
        <f>J42+7</f>
        <v>43631</v>
      </c>
      <c r="K43" s="590">
        <f>J43+16</f>
        <v>43647</v>
      </c>
      <c r="L43" s="588">
        <f>J43+21</f>
        <v>43652</v>
      </c>
      <c r="M43" s="588">
        <f>J43+25</f>
        <v>43656</v>
      </c>
      <c r="N43" s="589">
        <f>J43+26</f>
        <v>43657</v>
      </c>
      <c r="O43" s="588">
        <f>J43+28</f>
        <v>43659</v>
      </c>
      <c r="P43" s="591">
        <f>J43+29</f>
        <v>43660</v>
      </c>
    </row>
    <row r="44" spans="1:21" s="290" customFormat="1" ht="19.899999999999999" customHeight="1">
      <c r="A44" s="595">
        <f t="shared" si="18"/>
        <v>25</v>
      </c>
      <c r="B44" s="592" t="s">
        <v>4622</v>
      </c>
      <c r="C44" s="493" t="str">
        <f>VLOOKUP(LEFT(B44,3),'ships name'!A:C,2,FALSE)</f>
        <v>SIMA GISELLE</v>
      </c>
      <c r="D44" s="809" t="str">
        <f>VLOOKUP(C44,'ships name'!B:C,2,FALSE)</f>
        <v xml:space="preserve"> </v>
      </c>
      <c r="E44" s="820" t="str">
        <f>LEFT(F44,3)-1&amp;"E"</f>
        <v>266E</v>
      </c>
      <c r="F44" s="804" t="str">
        <f>RIGHT(B44,3)&amp;"S"</f>
        <v>267S</v>
      </c>
      <c r="G44" s="481" t="s">
        <v>4626</v>
      </c>
      <c r="H44" s="588">
        <f>I44-2</f>
        <v>43636</v>
      </c>
      <c r="I44" s="588">
        <f>J44</f>
        <v>43638</v>
      </c>
      <c r="J44" s="589">
        <f>J43+7</f>
        <v>43638</v>
      </c>
      <c r="K44" s="590">
        <f>J44+16</f>
        <v>43654</v>
      </c>
      <c r="L44" s="588">
        <f>J44+21</f>
        <v>43659</v>
      </c>
      <c r="M44" s="588">
        <f>J44+25</f>
        <v>43663</v>
      </c>
      <c r="N44" s="589">
        <f>J44+26</f>
        <v>43664</v>
      </c>
      <c r="O44" s="588">
        <f>J44+28</f>
        <v>43666</v>
      </c>
      <c r="P44" s="591">
        <f>J44+29</f>
        <v>43667</v>
      </c>
    </row>
    <row r="45" spans="1:21" s="290" customFormat="1" ht="19.899999999999999" customHeight="1" thickBot="1">
      <c r="A45" s="1032">
        <f t="shared" si="18"/>
        <v>26</v>
      </c>
      <c r="B45" s="594" t="s">
        <v>4623</v>
      </c>
      <c r="C45" s="499" t="str">
        <f>VLOOKUP(LEFT(B45,3),'ships name'!A:C,2,FALSE)</f>
        <v>KOTA LEMBAH</v>
      </c>
      <c r="D45" s="809" t="str">
        <f>VLOOKUP(C45,'ships name'!B:C,2,FALSE)</f>
        <v xml:space="preserve"> </v>
      </c>
      <c r="E45" s="957" t="str">
        <f>LEFT(F45,6)</f>
        <v>160S</v>
      </c>
      <c r="F45" s="990" t="str">
        <f>RIGHT(B45,3)&amp;"S"</f>
        <v>160S</v>
      </c>
      <c r="G45" s="481" t="s">
        <v>4627</v>
      </c>
      <c r="H45" s="588">
        <f>I45-2</f>
        <v>43643</v>
      </c>
      <c r="I45" s="588">
        <f>J45</f>
        <v>43645</v>
      </c>
      <c r="J45" s="589">
        <f>J44+7</f>
        <v>43645</v>
      </c>
      <c r="K45" s="590">
        <f>J45+16</f>
        <v>43661</v>
      </c>
      <c r="L45" s="588">
        <f>J45+21</f>
        <v>43666</v>
      </c>
      <c r="M45" s="588">
        <f>J45+25</f>
        <v>43670</v>
      </c>
      <c r="N45" s="589">
        <f>J45+26</f>
        <v>43671</v>
      </c>
      <c r="O45" s="588">
        <f>J45+28</f>
        <v>43673</v>
      </c>
      <c r="P45" s="591">
        <f>J45+29</f>
        <v>43674</v>
      </c>
    </row>
    <row r="46" spans="1:21" ht="19.899999999999999" customHeight="1">
      <c r="A46" s="1112"/>
      <c r="B46" s="1112"/>
      <c r="C46" s="1112"/>
      <c r="D46" s="1112"/>
      <c r="E46" s="1112"/>
      <c r="F46" s="1112"/>
      <c r="G46" s="1112"/>
      <c r="H46" s="1112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7" t="s">
        <v>399</v>
      </c>
      <c r="C1" s="1608"/>
      <c r="D1" s="1608"/>
      <c r="E1" s="1609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10" t="s">
        <v>432</v>
      </c>
      <c r="C13" s="1611"/>
      <c r="D13" s="1611"/>
      <c r="E13" s="1611"/>
      <c r="F13" s="1611"/>
      <c r="G13" s="1611"/>
      <c r="H13" s="1611"/>
      <c r="I13" s="1611"/>
      <c r="J13" s="1611"/>
      <c r="K13" s="1611"/>
      <c r="L13" s="1611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12" t="s">
        <v>495</v>
      </c>
      <c r="C25" s="1613"/>
      <c r="D25" s="1613"/>
      <c r="E25" s="1613"/>
      <c r="F25" s="1613"/>
      <c r="G25" s="1613"/>
      <c r="H25" s="1613"/>
      <c r="I25" s="1613"/>
      <c r="J25" s="1613"/>
      <c r="K25" s="1614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20"/>
  <sheetViews>
    <sheetView topLeftCell="A2091" zoomScale="85" zoomScaleNormal="85" workbookViewId="0">
      <selection activeCell="G2118" sqref="G2118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15" t="s">
        <v>86</v>
      </c>
      <c r="C2" s="1615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15" t="s">
        <v>499</v>
      </c>
      <c r="C53" s="1615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16" t="s">
        <v>500</v>
      </c>
      <c r="C88" s="1617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16" t="s">
        <v>568</v>
      </c>
      <c r="C104" s="1617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15" t="s">
        <v>798</v>
      </c>
      <c r="C117" s="1615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16" t="s">
        <v>530</v>
      </c>
      <c r="C157" s="1617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20" t="s">
        <v>926</v>
      </c>
      <c r="C168" s="1621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15" t="s">
        <v>798</v>
      </c>
      <c r="C194" s="1615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15" t="s">
        <v>102</v>
      </c>
      <c r="C231" s="1615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20" t="s">
        <v>1125</v>
      </c>
      <c r="C255" s="1621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18" t="s">
        <v>499</v>
      </c>
      <c r="C295" s="1618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19" t="s">
        <v>1228</v>
      </c>
      <c r="C331" s="1619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16" t="s">
        <v>1300</v>
      </c>
      <c r="C371" s="1617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15" t="s">
        <v>434</v>
      </c>
      <c r="C397" s="1615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19" t="s">
        <v>1449</v>
      </c>
      <c r="C447" s="1619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15" t="s">
        <v>1488</v>
      </c>
      <c r="C477" s="1615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16" t="s">
        <v>1581</v>
      </c>
      <c r="C518" s="1617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15" t="s">
        <v>433</v>
      </c>
      <c r="C522" s="1615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15" t="s">
        <v>1676</v>
      </c>
      <c r="C588" s="1615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16" t="s">
        <v>1683</v>
      </c>
      <c r="C628" s="1617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16" t="s">
        <v>501</v>
      </c>
      <c r="C657" s="1617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15" t="s">
        <v>498</v>
      </c>
      <c r="C684" s="1615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16" t="s">
        <v>1925</v>
      </c>
      <c r="C736" s="1617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16" t="s">
        <v>401</v>
      </c>
      <c r="C759" s="1617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15" t="s">
        <v>402</v>
      </c>
      <c r="C831" s="1615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15" t="s">
        <v>2146</v>
      </c>
      <c r="C910" s="1615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4428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 t="s">
        <v>4597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4463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4425</v>
      </c>
      <c r="B2021" s="61" t="s">
        <v>4932</v>
      </c>
      <c r="C2021" s="61" t="s">
        <v>29</v>
      </c>
    </row>
    <row r="2022" spans="1:3">
      <c r="A2022" s="2" t="s">
        <v>4375</v>
      </c>
      <c r="B2022" s="2" t="s">
        <v>4116</v>
      </c>
    </row>
    <row r="2023" spans="1:3">
      <c r="A2023" s="2" t="s">
        <v>4377</v>
      </c>
      <c r="B2023" s="2" t="s">
        <v>4376</v>
      </c>
    </row>
    <row r="2024" spans="1:3">
      <c r="A2024" s="2" t="s">
        <v>4378</v>
      </c>
      <c r="B2024" s="2" t="s">
        <v>4379</v>
      </c>
      <c r="C2024" s="2" t="s">
        <v>29</v>
      </c>
    </row>
    <row r="2025" spans="1:3">
      <c r="A2025" s="373" t="s">
        <v>4380</v>
      </c>
      <c r="B2025" s="374" t="s">
        <v>4381</v>
      </c>
      <c r="C2025" s="373" t="s">
        <v>29</v>
      </c>
    </row>
    <row r="2026" spans="1:3">
      <c r="A2026" s="373" t="s">
        <v>4382</v>
      </c>
      <c r="B2026" s="374" t="s">
        <v>3498</v>
      </c>
      <c r="C2026" s="373" t="s">
        <v>29</v>
      </c>
    </row>
    <row r="2027" spans="1:3">
      <c r="A2027" s="373" t="s">
        <v>4383</v>
      </c>
      <c r="B2027" s="374" t="s">
        <v>4384</v>
      </c>
      <c r="C2027" s="2" t="s">
        <v>29</v>
      </c>
    </row>
    <row r="2028" spans="1:3">
      <c r="A2028" s="373" t="s">
        <v>346</v>
      </c>
      <c r="B2028" s="374" t="s">
        <v>4385</v>
      </c>
      <c r="C2028" s="373" t="s">
        <v>29</v>
      </c>
    </row>
    <row r="2029" spans="1:3">
      <c r="A2029" s="2" t="s">
        <v>4386</v>
      </c>
      <c r="B2029" s="2" t="s">
        <v>4379</v>
      </c>
      <c r="C2029" s="61" t="s">
        <v>29</v>
      </c>
    </row>
    <row r="2030" spans="1:3">
      <c r="A2030" s="2" t="s">
        <v>4389</v>
      </c>
      <c r="B2030" s="2" t="s">
        <v>4316</v>
      </c>
      <c r="C2030" s="2" t="s">
        <v>29</v>
      </c>
    </row>
    <row r="2031" spans="1:3">
      <c r="A2031" s="2" t="s">
        <v>4390</v>
      </c>
      <c r="B2031" s="2" t="s">
        <v>4332</v>
      </c>
      <c r="C2031" s="2" t="s">
        <v>29</v>
      </c>
    </row>
    <row r="2032" spans="1:3">
      <c r="A2032" s="2" t="s">
        <v>4391</v>
      </c>
      <c r="B2032" s="2" t="s">
        <v>4392</v>
      </c>
      <c r="C2032" s="2" t="s">
        <v>29</v>
      </c>
    </row>
    <row r="2033" spans="1:3">
      <c r="A2033" t="s">
        <v>4398</v>
      </c>
      <c r="B2033" t="s">
        <v>4399</v>
      </c>
      <c r="C2033" t="s">
        <v>29</v>
      </c>
    </row>
    <row r="2034" spans="1:3">
      <c r="A2034" t="s">
        <v>4400</v>
      </c>
      <c r="B2034" t="s">
        <v>2486</v>
      </c>
      <c r="C2034" t="s">
        <v>29</v>
      </c>
    </row>
    <row r="2035" spans="1:3">
      <c r="A2035" s="2" t="s">
        <v>4401</v>
      </c>
      <c r="B2035" s="2" t="s">
        <v>4402</v>
      </c>
    </row>
    <row r="2036" spans="1:3">
      <c r="A2036" s="373" t="s">
        <v>4403</v>
      </c>
      <c r="B2036" s="374" t="s">
        <v>4404</v>
      </c>
      <c r="C2036" s="373" t="s">
        <v>29</v>
      </c>
    </row>
    <row r="2037" spans="1:3">
      <c r="A2037" s="2" t="s">
        <v>4406</v>
      </c>
      <c r="B2037" s="2" t="s">
        <v>4407</v>
      </c>
      <c r="C2037" s="2" t="s">
        <v>29</v>
      </c>
    </row>
    <row r="2038" spans="1:3">
      <c r="A2038" t="s">
        <v>4408</v>
      </c>
      <c r="B2038" t="s">
        <v>4409</v>
      </c>
      <c r="C2038" t="s">
        <v>29</v>
      </c>
    </row>
    <row r="2039" spans="1:3">
      <c r="A2039" s="373" t="s">
        <v>4410</v>
      </c>
      <c r="B2039" s="374" t="s">
        <v>4411</v>
      </c>
      <c r="C2039" s="373" t="s">
        <v>29</v>
      </c>
    </row>
    <row r="2040" spans="1:3">
      <c r="A2040" s="373" t="s">
        <v>4412</v>
      </c>
      <c r="B2040" s="374" t="s">
        <v>4413</v>
      </c>
      <c r="C2040" s="373" t="s">
        <v>29</v>
      </c>
    </row>
    <row r="2041" spans="1:3">
      <c r="A2041" s="373" t="s">
        <v>4400</v>
      </c>
      <c r="B2041" s="374" t="s">
        <v>2486</v>
      </c>
      <c r="C2041" s="373" t="s">
        <v>4420</v>
      </c>
    </row>
    <row r="2042" spans="1:3">
      <c r="A2042" s="373" t="s">
        <v>4401</v>
      </c>
      <c r="B2042" s="374" t="s">
        <v>4402</v>
      </c>
      <c r="C2042" s="373" t="s">
        <v>29</v>
      </c>
    </row>
    <row r="2043" spans="1:3">
      <c r="A2043" s="373" t="s">
        <v>4403</v>
      </c>
      <c r="B2043" s="374" t="s">
        <v>4404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4410</v>
      </c>
      <c r="B2045" s="374" t="s">
        <v>4411</v>
      </c>
      <c r="C2045" s="373" t="s">
        <v>29</v>
      </c>
    </row>
    <row r="2046" spans="1:3">
      <c r="A2046" s="373" t="s">
        <v>4421</v>
      </c>
      <c r="B2046" s="374" t="s">
        <v>4422</v>
      </c>
      <c r="C2046" s="373" t="s">
        <v>29</v>
      </c>
    </row>
    <row r="2047" spans="1:3">
      <c r="A2047" s="373" t="s">
        <v>4423</v>
      </c>
      <c r="B2047" s="374" t="s">
        <v>4424</v>
      </c>
      <c r="C2047" s="373" t="s">
        <v>29</v>
      </c>
    </row>
    <row r="2048" spans="1:3">
      <c r="A2048" s="373" t="s">
        <v>4401</v>
      </c>
      <c r="B2048" s="374" t="s">
        <v>4402</v>
      </c>
      <c r="C2048" s="373" t="s">
        <v>29</v>
      </c>
    </row>
    <row r="2049" spans="1:3">
      <c r="A2049" s="373" t="s">
        <v>4403</v>
      </c>
      <c r="B2049" s="374" t="s">
        <v>4404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4410</v>
      </c>
      <c r="B2051" s="374" t="s">
        <v>4411</v>
      </c>
      <c r="C2051" s="373" t="s">
        <v>29</v>
      </c>
    </row>
    <row r="2052" spans="1:3">
      <c r="A2052" s="373" t="s">
        <v>4412</v>
      </c>
      <c r="B2052" s="374" t="s">
        <v>4413</v>
      </c>
      <c r="C2052" s="373" t="s">
        <v>29</v>
      </c>
    </row>
    <row r="2053" spans="1:3">
      <c r="A2053" s="373"/>
      <c r="B2053" s="374"/>
      <c r="C2053" s="373"/>
    </row>
    <row r="2054" spans="1:3">
      <c r="A2054" s="2" t="s">
        <v>4426</v>
      </c>
      <c r="B2054" s="2" t="s">
        <v>3999</v>
      </c>
      <c r="C2054" s="61" t="s">
        <v>29</v>
      </c>
    </row>
    <row r="2055" spans="1:3">
      <c r="A2055" s="2" t="s">
        <v>4430</v>
      </c>
      <c r="B2055" s="2" t="s">
        <v>4431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4433</v>
      </c>
      <c r="B2057" s="374" t="s">
        <v>4434</v>
      </c>
      <c r="C2057" s="373" t="s">
        <v>29</v>
      </c>
    </row>
    <row r="2058" spans="1:3">
      <c r="A2058" s="2" t="s">
        <v>4435</v>
      </c>
      <c r="B2058" s="2" t="s">
        <v>2809</v>
      </c>
      <c r="C2058" s="61" t="s">
        <v>4436</v>
      </c>
    </row>
    <row r="2059" spans="1:3">
      <c r="A2059" s="2" t="s">
        <v>4437</v>
      </c>
      <c r="B2059" s="2" t="s">
        <v>3436</v>
      </c>
    </row>
    <row r="2060" spans="1:3" ht="15">
      <c r="A2060" s="375" t="s">
        <v>4448</v>
      </c>
      <c r="B2060" s="2" t="s">
        <v>3834</v>
      </c>
      <c r="C2060" s="967" t="s">
        <v>4438</v>
      </c>
    </row>
    <row r="2061" spans="1:3" ht="15">
      <c r="A2061" s="2" t="s">
        <v>3916</v>
      </c>
      <c r="B2061" s="968" t="s">
        <v>3917</v>
      </c>
      <c r="C2061" s="968" t="s">
        <v>4439</v>
      </c>
    </row>
    <row r="2062" spans="1:3" ht="15">
      <c r="A2062" s="2" t="s">
        <v>4095</v>
      </c>
      <c r="B2062" s="968" t="s">
        <v>4094</v>
      </c>
      <c r="C2062" s="968" t="s">
        <v>4440</v>
      </c>
    </row>
    <row r="2063" spans="1:3" ht="15">
      <c r="A2063" s="2" t="s">
        <v>4181</v>
      </c>
      <c r="B2063" s="969" t="s">
        <v>4182</v>
      </c>
      <c r="C2063" s="969" t="s">
        <v>4441</v>
      </c>
    </row>
    <row r="2064" spans="1:3" ht="15">
      <c r="A2064" s="2" t="s">
        <v>3839</v>
      </c>
      <c r="B2064" s="967" t="s">
        <v>3840</v>
      </c>
      <c r="C2064" s="967" t="s">
        <v>4442</v>
      </c>
    </row>
    <row r="2065" spans="1:3" ht="15">
      <c r="A2065" s="2" t="s">
        <v>3992</v>
      </c>
      <c r="B2065" s="968" t="s">
        <v>3993</v>
      </c>
      <c r="C2065" s="968" t="s">
        <v>4443</v>
      </c>
    </row>
    <row r="2066" spans="1:3" ht="15">
      <c r="A2066" s="2" t="s">
        <v>4234</v>
      </c>
      <c r="B2066" s="969" t="s">
        <v>4235</v>
      </c>
      <c r="C2066" s="969" t="s">
        <v>4444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69" t="s">
        <v>4114</v>
      </c>
      <c r="C2068" s="969" t="s">
        <v>4445</v>
      </c>
    </row>
    <row r="2069" spans="1:3" ht="15">
      <c r="A2069" s="2" t="s">
        <v>3994</v>
      </c>
      <c r="B2069" s="967" t="s">
        <v>3995</v>
      </c>
      <c r="C2069" s="967" t="s">
        <v>4446</v>
      </c>
    </row>
    <row r="2070" spans="1:3" ht="15">
      <c r="A2070" s="2" t="s">
        <v>4247</v>
      </c>
      <c r="B2070" s="969" t="s">
        <v>4248</v>
      </c>
      <c r="C2070" s="969" t="s">
        <v>4447</v>
      </c>
    </row>
    <row r="2071" spans="1:3">
      <c r="A2071" s="2" t="s">
        <v>4450</v>
      </c>
      <c r="B2071" s="2" t="s">
        <v>4451</v>
      </c>
      <c r="C2071" s="2" t="s">
        <v>4452</v>
      </c>
    </row>
    <row r="2072" spans="1:3">
      <c r="A2072" s="980" t="s">
        <v>3684</v>
      </c>
      <c r="B2072" s="980" t="s">
        <v>3685</v>
      </c>
      <c r="C2072" s="980" t="s">
        <v>29</v>
      </c>
    </row>
    <row r="2073" spans="1:3">
      <c r="A2073" s="980" t="s">
        <v>4456</v>
      </c>
      <c r="B2073" s="980" t="s">
        <v>4457</v>
      </c>
      <c r="C2073" s="980" t="s">
        <v>29</v>
      </c>
    </row>
    <row r="2074" spans="1:3">
      <c r="A2074" s="373" t="s">
        <v>4464</v>
      </c>
      <c r="B2074" s="374" t="s">
        <v>4465</v>
      </c>
      <c r="C2074" s="373" t="s">
        <v>29</v>
      </c>
    </row>
    <row r="2075" spans="1:3">
      <c r="A2075" s="373" t="s">
        <v>4466</v>
      </c>
      <c r="B2075" s="374" t="s">
        <v>4467</v>
      </c>
      <c r="C2075" s="373" t="s">
        <v>29</v>
      </c>
    </row>
    <row r="2076" spans="1:3">
      <c r="A2076" s="373" t="s">
        <v>4468</v>
      </c>
      <c r="B2076" s="374" t="s">
        <v>4469</v>
      </c>
      <c r="C2076" s="373" t="s">
        <v>29</v>
      </c>
    </row>
    <row r="2077" spans="1:3">
      <c r="A2077" s="373" t="s">
        <v>4472</v>
      </c>
      <c r="B2077" s="374" t="s">
        <v>4021</v>
      </c>
      <c r="C2077" s="373" t="s">
        <v>29</v>
      </c>
    </row>
    <row r="2078" spans="1:3" ht="15">
      <c r="A2078" s="445" t="s">
        <v>4473</v>
      </c>
      <c r="B2078" s="445" t="s">
        <v>2486</v>
      </c>
      <c r="C2078" s="445" t="s">
        <v>4474</v>
      </c>
    </row>
    <row r="2079" spans="1:3">
      <c r="A2079" s="373" t="s">
        <v>4475</v>
      </c>
      <c r="B2079" s="374" t="s">
        <v>4476</v>
      </c>
      <c r="C2079" s="373" t="s">
        <v>29</v>
      </c>
    </row>
    <row r="2080" spans="1:3">
      <c r="A2080" s="373" t="s">
        <v>4477</v>
      </c>
      <c r="B2080" s="374" t="s">
        <v>2713</v>
      </c>
      <c r="C2080" s="373" t="s">
        <v>2714</v>
      </c>
    </row>
    <row r="2081" spans="1:3">
      <c r="A2081" s="980" t="s">
        <v>4478</v>
      </c>
      <c r="B2081" s="980" t="s">
        <v>4479</v>
      </c>
      <c r="C2081" s="980" t="s">
        <v>29</v>
      </c>
    </row>
    <row r="2082" spans="1:3">
      <c r="A2082" s="373" t="s">
        <v>4472</v>
      </c>
      <c r="B2082" s="374" t="s">
        <v>4021</v>
      </c>
      <c r="C2082" s="373" t="s">
        <v>29</v>
      </c>
    </row>
    <row r="2083" spans="1:3">
      <c r="A2083" s="373" t="s">
        <v>4480</v>
      </c>
      <c r="B2083" s="374" t="s">
        <v>2757</v>
      </c>
      <c r="C2083" s="373"/>
    </row>
    <row r="2084" spans="1:3">
      <c r="A2084" s="373" t="s">
        <v>4481</v>
      </c>
      <c r="B2084" s="374" t="s">
        <v>2702</v>
      </c>
      <c r="C2084" s="373" t="s">
        <v>29</v>
      </c>
    </row>
    <row r="2085" spans="1:3">
      <c r="A2085" s="373" t="s">
        <v>4482</v>
      </c>
      <c r="B2085" s="374" t="s">
        <v>644</v>
      </c>
      <c r="C2085" s="373" t="s">
        <v>29</v>
      </c>
    </row>
    <row r="2086" spans="1:3">
      <c r="A2086" s="2" t="s">
        <v>4483</v>
      </c>
      <c r="B2086" s="2" t="s">
        <v>4484</v>
      </c>
      <c r="C2086" s="2" t="s">
        <v>29</v>
      </c>
    </row>
    <row r="2087" spans="1:3">
      <c r="A2087" s="2" t="s">
        <v>4488</v>
      </c>
      <c r="B2087" s="2" t="s">
        <v>4485</v>
      </c>
    </row>
    <row r="2088" spans="1:3">
      <c r="A2088" s="2" t="s">
        <v>4490</v>
      </c>
      <c r="B2088" s="2" t="s">
        <v>4486</v>
      </c>
    </row>
    <row r="2089" spans="1:3">
      <c r="A2089" s="2" t="s">
        <v>4489</v>
      </c>
      <c r="B2089" s="2" t="s">
        <v>4487</v>
      </c>
    </row>
    <row r="2090" spans="1:3">
      <c r="A2090" s="2" t="s">
        <v>4504</v>
      </c>
      <c r="B2090" s="2" t="s">
        <v>4505</v>
      </c>
      <c r="C2090" s="2" t="s">
        <v>29</v>
      </c>
    </row>
    <row r="2091" spans="1:3">
      <c r="A2091" s="2" t="s">
        <v>4510</v>
      </c>
      <c r="B2091" s="2" t="s">
        <v>4369</v>
      </c>
      <c r="C2091" s="2" t="s">
        <v>29</v>
      </c>
    </row>
    <row r="2092" spans="1:3">
      <c r="A2092" s="2" t="s">
        <v>4511</v>
      </c>
      <c r="B2092" s="2" t="s">
        <v>4512</v>
      </c>
      <c r="C2092" s="61" t="s">
        <v>29</v>
      </c>
    </row>
    <row r="2093" spans="1:3">
      <c r="A2093" s="2" t="s">
        <v>4513</v>
      </c>
      <c r="B2093" s="2" t="s">
        <v>3578</v>
      </c>
      <c r="C2093" s="61" t="s">
        <v>29</v>
      </c>
    </row>
    <row r="2094" spans="1:3">
      <c r="A2094" s="2" t="s">
        <v>4514</v>
      </c>
      <c r="B2094" s="2" t="s">
        <v>4515</v>
      </c>
      <c r="C2094" s="61" t="s">
        <v>29</v>
      </c>
    </row>
    <row r="2095" spans="1:3">
      <c r="A2095" s="2" t="s">
        <v>4516</v>
      </c>
      <c r="B2095" s="2" t="s">
        <v>4517</v>
      </c>
      <c r="C2095" s="61" t="s">
        <v>29</v>
      </c>
    </row>
    <row r="2096" spans="1:3">
      <c r="A2096" s="980" t="s">
        <v>4518</v>
      </c>
      <c r="B2096" s="980" t="s">
        <v>2757</v>
      </c>
      <c r="C2096" s="980" t="s">
        <v>2758</v>
      </c>
    </row>
    <row r="2097" spans="1:3">
      <c r="A2097" s="373" t="s">
        <v>4519</v>
      </c>
      <c r="B2097" s="374" t="s">
        <v>4520</v>
      </c>
      <c r="C2097" s="373" t="s">
        <v>29</v>
      </c>
    </row>
    <row r="2098" spans="1:3">
      <c r="A2098" s="2" t="s">
        <v>4521</v>
      </c>
      <c r="B2098" s="2" t="s">
        <v>4522</v>
      </c>
      <c r="C2098" s="61" t="s">
        <v>29</v>
      </c>
    </row>
    <row r="2099" spans="1:3">
      <c r="A2099" s="373" t="s">
        <v>4524</v>
      </c>
      <c r="B2099" s="374" t="s">
        <v>4525</v>
      </c>
      <c r="C2099" s="373" t="s">
        <v>29</v>
      </c>
    </row>
    <row r="2100" spans="1:3">
      <c r="A2100" s="373" t="s">
        <v>4526</v>
      </c>
      <c r="B2100" s="374" t="s">
        <v>3759</v>
      </c>
      <c r="C2100" s="373" t="s">
        <v>29</v>
      </c>
    </row>
    <row r="2101" spans="1:3">
      <c r="A2101" s="373" t="s">
        <v>4528</v>
      </c>
      <c r="B2101" s="374" t="s">
        <v>2887</v>
      </c>
      <c r="C2101" s="373" t="s">
        <v>29</v>
      </c>
    </row>
    <row r="2102" spans="1:3">
      <c r="A2102" s="2" t="s">
        <v>4572</v>
      </c>
      <c r="B2102" s="2" t="s">
        <v>4570</v>
      </c>
      <c r="C2102" s="61" t="s">
        <v>29</v>
      </c>
    </row>
    <row r="2103" spans="1:3">
      <c r="A2103" s="373" t="s">
        <v>4577</v>
      </c>
      <c r="B2103" s="374" t="s">
        <v>2580</v>
      </c>
      <c r="C2103" s="373" t="s">
        <v>29</v>
      </c>
    </row>
    <row r="2104" spans="1:3">
      <c r="A2104" s="2" t="s">
        <v>4580</v>
      </c>
      <c r="B2104" s="2" t="s">
        <v>4579</v>
      </c>
    </row>
    <row r="2105" spans="1:3">
      <c r="A2105" s="373" t="s">
        <v>4581</v>
      </c>
      <c r="B2105" s="374" t="s">
        <v>4582</v>
      </c>
      <c r="C2105" s="373" t="s">
        <v>29</v>
      </c>
    </row>
    <row r="2106" spans="1:3">
      <c r="A2106" s="2" t="s">
        <v>4583</v>
      </c>
      <c r="B2106" s="2" t="s">
        <v>3986</v>
      </c>
      <c r="C2106" s="2" t="s">
        <v>29</v>
      </c>
    </row>
    <row r="2107" spans="1:3">
      <c r="A2107" s="373" t="s">
        <v>4584</v>
      </c>
      <c r="B2107" s="374" t="s">
        <v>4585</v>
      </c>
      <c r="C2107" s="373" t="s">
        <v>29</v>
      </c>
    </row>
    <row r="2108" spans="1:3">
      <c r="A2108" s="373" t="s">
        <v>4588</v>
      </c>
      <c r="B2108" s="374" t="s">
        <v>4070</v>
      </c>
      <c r="C2108" s="373" t="s">
        <v>29</v>
      </c>
    </row>
    <row r="2109" spans="1:3">
      <c r="A2109" s="2" t="s">
        <v>4589</v>
      </c>
      <c r="B2109" s="2" t="s">
        <v>4590</v>
      </c>
      <c r="C2109" s="2" t="s">
        <v>29</v>
      </c>
    </row>
    <row r="2110" spans="1:3">
      <c r="A2110" s="2" t="s">
        <v>4592</v>
      </c>
      <c r="B2110" s="2" t="s">
        <v>4593</v>
      </c>
      <c r="C2110" s="2" t="s">
        <v>29</v>
      </c>
    </row>
    <row r="2111" spans="1:3">
      <c r="A2111" s="980" t="s">
        <v>4594</v>
      </c>
      <c r="B2111" s="980" t="s">
        <v>4595</v>
      </c>
      <c r="C2111" s="980" t="s">
        <v>29</v>
      </c>
    </row>
    <row r="2112" spans="1:3">
      <c r="A2112" s="980" t="s">
        <v>362</v>
      </c>
      <c r="B2112" s="980" t="s">
        <v>4596</v>
      </c>
      <c r="C2112" s="980" t="s">
        <v>29</v>
      </c>
    </row>
    <row r="2113" spans="1:3">
      <c r="B2113" s="374" t="s">
        <v>4598</v>
      </c>
      <c r="C2113" s="373" t="s">
        <v>4599</v>
      </c>
    </row>
    <row r="2114" spans="1:3">
      <c r="A2114" s="373" t="s">
        <v>4600</v>
      </c>
      <c r="B2114" s="374" t="s">
        <v>4601</v>
      </c>
      <c r="C2114" s="373" t="s">
        <v>29</v>
      </c>
    </row>
    <row r="2115" spans="1:3">
      <c r="A2115" s="2" t="s">
        <v>4914</v>
      </c>
      <c r="B2115" s="2" t="s">
        <v>4413</v>
      </c>
      <c r="C2115" s="2" t="s">
        <v>29</v>
      </c>
    </row>
    <row r="2116" spans="1:3">
      <c r="A2116" s="373" t="s">
        <v>4926</v>
      </c>
      <c r="B2116" s="374" t="s">
        <v>3818</v>
      </c>
      <c r="C2116" s="373" t="s">
        <v>29</v>
      </c>
    </row>
    <row r="2117" spans="1:3">
      <c r="A2117" s="2" t="s">
        <v>4927</v>
      </c>
      <c r="B2117" s="2" t="s">
        <v>4928</v>
      </c>
      <c r="C2117" s="2" t="s">
        <v>29</v>
      </c>
    </row>
    <row r="2118" spans="1:3">
      <c r="A2118" s="2" t="s">
        <v>4930</v>
      </c>
      <c r="B2118" s="2" t="s">
        <v>4525</v>
      </c>
      <c r="C2118" s="2" t="s">
        <v>29</v>
      </c>
    </row>
    <row r="2119" spans="1:3">
      <c r="A2119" s="61" t="s">
        <v>4935</v>
      </c>
      <c r="B2119" s="2" t="s">
        <v>656</v>
      </c>
      <c r="C2119" s="2" t="s">
        <v>657</v>
      </c>
    </row>
    <row r="2120" spans="1:3">
      <c r="A2120" s="373" t="s">
        <v>4936</v>
      </c>
      <c r="B2120" s="374" t="s">
        <v>4937</v>
      </c>
      <c r="C2120" s="373" t="s">
        <v>29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abSelected="1" topLeftCell="A117" zoomScale="85" zoomScaleNormal="85" zoomScaleSheetLayoutView="85" workbookViewId="0">
      <selection activeCell="C136" sqref="C136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21" t="s">
        <v>0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</row>
    <row r="3" spans="1:17" ht="28.15" customHeight="1">
      <c r="B3" s="174"/>
    </row>
    <row r="4" spans="1:17" ht="28.15" customHeight="1">
      <c r="A4" s="1121" t="str">
        <f>AU!A4</f>
        <v>2019年06月船期表</v>
      </c>
      <c r="B4" s="1121"/>
      <c r="C4" s="1121"/>
      <c r="D4" s="1121"/>
      <c r="E4" s="1121"/>
      <c r="F4" s="1121"/>
      <c r="G4" s="1121"/>
      <c r="H4" s="1121"/>
      <c r="I4" s="1121"/>
      <c r="J4" s="1121"/>
      <c r="K4" s="1121"/>
      <c r="L4" s="1121"/>
      <c r="M4" s="1121"/>
      <c r="N4" s="1121"/>
      <c r="O4" s="1121"/>
      <c r="P4" s="1121"/>
    </row>
    <row r="5" spans="1:17" ht="28.15" customHeight="1" thickBot="1"/>
    <row r="6" spans="1:17" ht="25.9" customHeight="1" thickBot="1">
      <c r="A6" s="1238" t="s">
        <v>86</v>
      </c>
      <c r="B6" s="1239"/>
      <c r="C6" s="1240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76" t="s">
        <v>2</v>
      </c>
      <c r="L6" s="1170"/>
      <c r="M6" s="1170"/>
      <c r="N6" s="1170"/>
      <c r="O6" s="1170"/>
      <c r="P6" s="1170"/>
      <c r="Q6" s="470"/>
    </row>
    <row r="7" spans="1:17" ht="19.899999999999999" customHeight="1">
      <c r="A7" s="1216" t="s">
        <v>3</v>
      </c>
      <c r="B7" s="1218" t="s">
        <v>4</v>
      </c>
      <c r="C7" s="1220" t="s">
        <v>5</v>
      </c>
      <c r="D7" s="1153" t="s">
        <v>4291</v>
      </c>
      <c r="E7" s="1154" t="s">
        <v>6</v>
      </c>
      <c r="F7" s="1155"/>
      <c r="G7" s="1156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216"/>
      <c r="B8" s="1218"/>
      <c r="C8" s="1220"/>
      <c r="D8" s="1097"/>
      <c r="E8" s="1097" t="s">
        <v>13</v>
      </c>
      <c r="F8" s="1099" t="s">
        <v>14</v>
      </c>
      <c r="G8" s="1100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216"/>
      <c r="B9" s="1218"/>
      <c r="C9" s="1220"/>
      <c r="D9" s="1243"/>
      <c r="E9" s="1243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22</v>
      </c>
      <c r="B10" s="577" t="s">
        <v>3766</v>
      </c>
      <c r="C10" s="1080" t="str">
        <f>VLOOKUP((LEFT(B10,3)),'ships name'!A:C,2,FALSE)</f>
        <v xml:space="preserve">void sailing </v>
      </c>
      <c r="D10" s="932">
        <f>VLOOKUP(C10,'ships name'!B:C,2,FALSE)</f>
        <v>0</v>
      </c>
      <c r="E10" s="580" t="str">
        <f>F10</f>
        <v>0SV3XW</v>
      </c>
      <c r="F10" s="580" t="str">
        <f>LEFT(G10,6)</f>
        <v>0SV3XW</v>
      </c>
      <c r="G10" s="580" t="s">
        <v>4532</v>
      </c>
      <c r="H10" s="944">
        <f>I10-1</f>
        <v>43615</v>
      </c>
      <c r="I10" s="934">
        <f t="shared" ref="H10:I14" si="0">J10-1</f>
        <v>43616</v>
      </c>
      <c r="J10" s="942">
        <v>43617</v>
      </c>
      <c r="K10" s="942">
        <f>J10+8</f>
        <v>43625</v>
      </c>
      <c r="L10" s="942">
        <f>J10+17</f>
        <v>43634</v>
      </c>
      <c r="M10" s="942">
        <f>J10+19</f>
        <v>43636</v>
      </c>
      <c r="N10" s="942">
        <f>J10+21</f>
        <v>43638</v>
      </c>
      <c r="O10" s="942">
        <f>J10+23</f>
        <v>43640</v>
      </c>
      <c r="P10" s="942">
        <f>J10+24</f>
        <v>43641</v>
      </c>
      <c r="Q10" s="282"/>
    </row>
    <row r="11" spans="1:17" ht="19.899999999999999" customHeight="1">
      <c r="A11" s="577">
        <f>A10+1</f>
        <v>23</v>
      </c>
      <c r="B11" s="577"/>
      <c r="C11" s="995" t="s">
        <v>2194</v>
      </c>
      <c r="D11" s="932" t="str">
        <f>VLOOKUP(C11,'ships name'!B:C,2,FALSE)</f>
        <v>美总巴黎</v>
      </c>
      <c r="E11" s="580" t="str">
        <f t="shared" ref="E11:E14" si="1">F11</f>
        <v>0SV41W</v>
      </c>
      <c r="F11" s="580" t="str">
        <f t="shared" ref="F11:F14" si="2">LEFT(G11,6)</f>
        <v>0SV41W</v>
      </c>
      <c r="G11" s="580" t="s">
        <v>4628</v>
      </c>
      <c r="H11" s="944">
        <f t="shared" si="0"/>
        <v>43622</v>
      </c>
      <c r="I11" s="934">
        <f t="shared" si="0"/>
        <v>43623</v>
      </c>
      <c r="J11" s="942">
        <f>J10+7</f>
        <v>43624</v>
      </c>
      <c r="K11" s="942">
        <f t="shared" ref="K11:K14" si="3">J11+8</f>
        <v>43632</v>
      </c>
      <c r="L11" s="942">
        <f t="shared" ref="L11:L14" si="4">J11+17</f>
        <v>43641</v>
      </c>
      <c r="M11" s="942">
        <f t="shared" ref="M11:M14" si="5">J11+19</f>
        <v>43643</v>
      </c>
      <c r="N11" s="942">
        <f t="shared" ref="N11:N14" si="6">J11+21</f>
        <v>43645</v>
      </c>
      <c r="O11" s="942">
        <f t="shared" ref="O11:O14" si="7">J11+23</f>
        <v>43647</v>
      </c>
      <c r="P11" s="942">
        <f t="shared" ref="P11:P14" si="8">J11+24</f>
        <v>43648</v>
      </c>
      <c r="Q11" s="282"/>
    </row>
    <row r="12" spans="1:17" ht="19.899999999999999" customHeight="1">
      <c r="A12" s="577">
        <f>A11+1</f>
        <v>24</v>
      </c>
      <c r="B12" s="577"/>
      <c r="C12" s="995" t="s">
        <v>3039</v>
      </c>
      <c r="D12" s="932" t="str">
        <f>VLOOKUP(C12,'ships name'!B:C,2,FALSE)</f>
        <v xml:space="preserve"> </v>
      </c>
      <c r="E12" s="580" t="str">
        <f t="shared" si="1"/>
        <v>0SV45W</v>
      </c>
      <c r="F12" s="580" t="str">
        <f t="shared" si="2"/>
        <v>0SV45W</v>
      </c>
      <c r="G12" s="580" t="s">
        <v>4629</v>
      </c>
      <c r="H12" s="944">
        <f t="shared" si="0"/>
        <v>43629</v>
      </c>
      <c r="I12" s="934">
        <f t="shared" si="0"/>
        <v>43630</v>
      </c>
      <c r="J12" s="942">
        <f>J11+7</f>
        <v>43631</v>
      </c>
      <c r="K12" s="942">
        <f t="shared" si="3"/>
        <v>43639</v>
      </c>
      <c r="L12" s="942">
        <f t="shared" si="4"/>
        <v>43648</v>
      </c>
      <c r="M12" s="942">
        <f t="shared" si="5"/>
        <v>43650</v>
      </c>
      <c r="N12" s="942">
        <f t="shared" si="6"/>
        <v>43652</v>
      </c>
      <c r="O12" s="942">
        <f t="shared" si="7"/>
        <v>43654</v>
      </c>
      <c r="P12" s="942">
        <f t="shared" si="8"/>
        <v>43655</v>
      </c>
      <c r="Q12" s="282"/>
    </row>
    <row r="13" spans="1:17" ht="19.899999999999999" customHeight="1">
      <c r="A13" s="577">
        <f t="shared" ref="A13:A14" si="9">A12+1</f>
        <v>25</v>
      </c>
      <c r="B13" s="577"/>
      <c r="C13" s="995" t="s">
        <v>3495</v>
      </c>
      <c r="D13" s="932">
        <f>VLOOKUP(C13,'ships name'!B:C,2,FALSE)</f>
        <v>0</v>
      </c>
      <c r="E13" s="580" t="str">
        <f t="shared" si="1"/>
        <v>0SV49W</v>
      </c>
      <c r="F13" s="580" t="str">
        <f t="shared" si="2"/>
        <v>0SV49W</v>
      </c>
      <c r="G13" s="580" t="s">
        <v>4630</v>
      </c>
      <c r="H13" s="944">
        <f t="shared" si="0"/>
        <v>43636</v>
      </c>
      <c r="I13" s="934">
        <f t="shared" si="0"/>
        <v>43637</v>
      </c>
      <c r="J13" s="942">
        <f>J12+7</f>
        <v>43638</v>
      </c>
      <c r="K13" s="942">
        <f t="shared" si="3"/>
        <v>43646</v>
      </c>
      <c r="L13" s="942">
        <f t="shared" si="4"/>
        <v>43655</v>
      </c>
      <c r="M13" s="942">
        <f t="shared" si="5"/>
        <v>43657</v>
      </c>
      <c r="N13" s="942">
        <f t="shared" si="6"/>
        <v>43659</v>
      </c>
      <c r="O13" s="942">
        <f t="shared" si="7"/>
        <v>43661</v>
      </c>
      <c r="P13" s="942">
        <f t="shared" si="8"/>
        <v>43662</v>
      </c>
      <c r="Q13" s="282"/>
    </row>
    <row r="14" spans="1:17" ht="19.899999999999999" customHeight="1">
      <c r="A14" s="577">
        <f t="shared" si="9"/>
        <v>26</v>
      </c>
      <c r="B14" s="577"/>
      <c r="C14" s="995" t="s">
        <v>3154</v>
      </c>
      <c r="D14" s="932" t="str">
        <f>VLOOKUP(C14,'ships name'!B:C,2,FALSE)</f>
        <v xml:space="preserve"> </v>
      </c>
      <c r="E14" s="580" t="str">
        <f t="shared" si="1"/>
        <v>0SV4DW</v>
      </c>
      <c r="F14" s="580" t="str">
        <f t="shared" si="2"/>
        <v>0SV4DW</v>
      </c>
      <c r="G14" s="580" t="s">
        <v>4631</v>
      </c>
      <c r="H14" s="944">
        <f t="shared" si="0"/>
        <v>43643</v>
      </c>
      <c r="I14" s="934">
        <f t="shared" si="0"/>
        <v>43644</v>
      </c>
      <c r="J14" s="942">
        <f>J13+7</f>
        <v>43645</v>
      </c>
      <c r="K14" s="942">
        <f t="shared" si="3"/>
        <v>43653</v>
      </c>
      <c r="L14" s="942">
        <f t="shared" si="4"/>
        <v>43662</v>
      </c>
      <c r="M14" s="942">
        <f t="shared" si="5"/>
        <v>43664</v>
      </c>
      <c r="N14" s="942">
        <f t="shared" si="6"/>
        <v>43666</v>
      </c>
      <c r="O14" s="942">
        <f t="shared" si="7"/>
        <v>43668</v>
      </c>
      <c r="P14" s="942">
        <f t="shared" si="8"/>
        <v>43669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41" t="s">
        <v>95</v>
      </c>
      <c r="B17" s="1242"/>
      <c r="C17" s="1242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244" t="s">
        <v>2</v>
      </c>
      <c r="M17" s="1244"/>
      <c r="N17" s="1244"/>
      <c r="O17" s="1244"/>
      <c r="P17" s="1245"/>
      <c r="Q17" s="1181"/>
      <c r="R17" s="223"/>
    </row>
    <row r="18" spans="1:18" ht="19.899999999999999" hidden="1" customHeight="1">
      <c r="A18" s="1246" t="s">
        <v>3</v>
      </c>
      <c r="B18" s="1222" t="s">
        <v>4</v>
      </c>
      <c r="C18" s="1236" t="s">
        <v>5</v>
      </c>
      <c r="D18" s="512"/>
      <c r="E18" s="1153" t="s">
        <v>6</v>
      </c>
      <c r="F18" s="1153"/>
      <c r="G18" s="1153"/>
      <c r="H18" s="1153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81"/>
      <c r="R18" s="298"/>
    </row>
    <row r="19" spans="1:18" ht="32.25" hidden="1" customHeight="1">
      <c r="A19" s="1246"/>
      <c r="B19" s="1222"/>
      <c r="C19" s="1236"/>
      <c r="D19" s="512"/>
      <c r="E19" s="1243" t="s">
        <v>13</v>
      </c>
      <c r="F19" s="333"/>
      <c r="G19" s="483"/>
      <c r="H19" s="1249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81"/>
      <c r="R19" s="298"/>
    </row>
    <row r="20" spans="1:18" ht="19.899999999999999" hidden="1" customHeight="1" thickBot="1">
      <c r="A20" s="1247"/>
      <c r="B20" s="1223"/>
      <c r="C20" s="1237"/>
      <c r="D20" s="513"/>
      <c r="E20" s="1223"/>
      <c r="F20" s="334"/>
      <c r="G20" s="484"/>
      <c r="H20" s="1250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81"/>
      <c r="R20" s="298"/>
    </row>
    <row r="21" spans="1:18" s="283" customFormat="1" ht="19.899999999999999" hidden="1" customHeight="1">
      <c r="A21" s="1248">
        <v>31</v>
      </c>
      <c r="B21" s="1209"/>
      <c r="C21" s="110" t="e">
        <f>VLOOKUP((LEFT(B21,3)),'ships name'!A:C,2,FALSE)</f>
        <v>#N/A</v>
      </c>
      <c r="D21" s="558"/>
      <c r="E21" s="1248"/>
      <c r="F21" s="1163" t="str">
        <f>RIGHT(B21,3)&amp;"W"</f>
        <v>W</v>
      </c>
      <c r="G21" s="505"/>
      <c r="H21" s="1212"/>
      <c r="I21" s="1143">
        <f>J21-2</f>
        <v>43314</v>
      </c>
      <c r="J21" s="1143">
        <f>K21</f>
        <v>43316</v>
      </c>
      <c r="K21" s="1196">
        <v>43316</v>
      </c>
      <c r="L21" s="1135">
        <f>K21+7</f>
        <v>43323</v>
      </c>
      <c r="M21" s="1139">
        <f>K21+16</f>
        <v>43332</v>
      </c>
      <c r="N21" s="1139">
        <f>K21+17</f>
        <v>43333</v>
      </c>
      <c r="O21" s="1139">
        <f>N21+2</f>
        <v>43335</v>
      </c>
      <c r="P21" s="1131">
        <f>K21+20</f>
        <v>43336</v>
      </c>
      <c r="Q21" s="1177"/>
      <c r="R21" s="1172"/>
    </row>
    <row r="22" spans="1:18" s="283" customFormat="1" ht="19.899999999999999" hidden="1" customHeight="1">
      <c r="A22" s="1233"/>
      <c r="B22" s="1209"/>
      <c r="C22" s="109" t="e">
        <f>VLOOKUP((LEFT(B21,3)),'ships name'!A:C,3,FALSE)</f>
        <v>#N/A</v>
      </c>
      <c r="D22" s="493"/>
      <c r="E22" s="1233"/>
      <c r="F22" s="1164"/>
      <c r="G22" s="506"/>
      <c r="H22" s="1205"/>
      <c r="I22" s="1144"/>
      <c r="J22" s="1144"/>
      <c r="K22" s="1197"/>
      <c r="L22" s="1136"/>
      <c r="M22" s="1140"/>
      <c r="N22" s="1140"/>
      <c r="O22" s="1140"/>
      <c r="P22" s="1132"/>
      <c r="Q22" s="1178"/>
      <c r="R22" s="1172"/>
    </row>
    <row r="23" spans="1:18" s="283" customFormat="1" ht="19.899999999999999" hidden="1" customHeight="1">
      <c r="A23" s="1253">
        <f>A21+1</f>
        <v>32</v>
      </c>
      <c r="B23" s="1195"/>
      <c r="C23" s="110" t="e">
        <f>VLOOKUP((LEFT(B23,3)),'ships name'!A:C,2,FALSE)</f>
        <v>#N/A</v>
      </c>
      <c r="D23" s="558"/>
      <c r="E23" s="1251"/>
      <c r="F23" s="1163" t="str">
        <f>RIGHT(B23,3)&amp;"W"</f>
        <v>W</v>
      </c>
      <c r="G23" s="505"/>
      <c r="H23" s="1212" t="s">
        <v>4086</v>
      </c>
      <c r="I23" s="1256">
        <f>I21+7</f>
        <v>43321</v>
      </c>
      <c r="J23" s="1129">
        <f>J21+7</f>
        <v>43323</v>
      </c>
      <c r="K23" s="1129">
        <f>K21+7</f>
        <v>43323</v>
      </c>
      <c r="L23" s="1135">
        <f>K23+7</f>
        <v>43330</v>
      </c>
      <c r="M23" s="1139">
        <f>K23+16</f>
        <v>43339</v>
      </c>
      <c r="N23" s="1139">
        <f>K23+17</f>
        <v>43340</v>
      </c>
      <c r="O23" s="1139">
        <f>N23+2</f>
        <v>43342</v>
      </c>
      <c r="P23" s="1131">
        <f>K23+20</f>
        <v>43343</v>
      </c>
      <c r="Q23" s="1177"/>
      <c r="R23" s="1173"/>
    </row>
    <row r="24" spans="1:18" s="283" customFormat="1" ht="19.899999999999999" hidden="1" customHeight="1">
      <c r="A24" s="1253"/>
      <c r="B24" s="1195"/>
      <c r="C24" s="109" t="e">
        <f>VLOOKUP((LEFT(B23,3)),'ships name'!A:C,3,FALSE)</f>
        <v>#N/A</v>
      </c>
      <c r="D24" s="493"/>
      <c r="E24" s="1233"/>
      <c r="F24" s="1164"/>
      <c r="G24" s="506"/>
      <c r="H24" s="1205"/>
      <c r="I24" s="1198"/>
      <c r="J24" s="1130"/>
      <c r="K24" s="1130"/>
      <c r="L24" s="1136"/>
      <c r="M24" s="1140"/>
      <c r="N24" s="1140"/>
      <c r="O24" s="1140"/>
      <c r="P24" s="1132"/>
      <c r="Q24" s="1178"/>
      <c r="R24" s="1174"/>
    </row>
    <row r="25" spans="1:18" s="283" customFormat="1" ht="19.899999999999999" hidden="1" customHeight="1">
      <c r="A25" s="1233">
        <f>A23+1</f>
        <v>33</v>
      </c>
      <c r="B25" s="1195"/>
      <c r="C25" s="110" t="e">
        <f>VLOOKUP((LEFT(B25,3)),'ships name'!A:C,2,FALSE)</f>
        <v>#N/A</v>
      </c>
      <c r="D25" s="558"/>
      <c r="E25" s="1251"/>
      <c r="F25" s="1163" t="str">
        <f>RIGHT(B25,3)&amp;"W"</f>
        <v>W</v>
      </c>
      <c r="G25" s="505"/>
      <c r="H25" s="1141" t="s">
        <v>29</v>
      </c>
      <c r="I25" s="1143">
        <f t="shared" ref="I25:J27" si="10">I23+7</f>
        <v>43328</v>
      </c>
      <c r="J25" s="1129">
        <f t="shared" si="10"/>
        <v>43330</v>
      </c>
      <c r="K25" s="1129">
        <f>K23+7</f>
        <v>43330</v>
      </c>
      <c r="L25" s="1135">
        <f>K25+7</f>
        <v>43337</v>
      </c>
      <c r="M25" s="1139">
        <f>K25+16</f>
        <v>43346</v>
      </c>
      <c r="N25" s="1139">
        <f>K25+17</f>
        <v>43347</v>
      </c>
      <c r="O25" s="1139">
        <f>N25+2</f>
        <v>43349</v>
      </c>
      <c r="P25" s="1131">
        <f>K25+20</f>
        <v>43350</v>
      </c>
      <c r="Q25" s="1177"/>
      <c r="R25" s="1172"/>
    </row>
    <row r="26" spans="1:18" s="283" customFormat="1" ht="19.899999999999999" hidden="1" customHeight="1">
      <c r="A26" s="1253"/>
      <c r="B26" s="1195"/>
      <c r="C26" s="109" t="e">
        <f>VLOOKUP((LEFT(B25,3)),'ships name'!A:C,3,FALSE)</f>
        <v>#N/A</v>
      </c>
      <c r="D26" s="493"/>
      <c r="E26" s="1233"/>
      <c r="F26" s="1164"/>
      <c r="G26" s="506"/>
      <c r="H26" s="1142"/>
      <c r="I26" s="1144"/>
      <c r="J26" s="1130"/>
      <c r="K26" s="1130"/>
      <c r="L26" s="1136"/>
      <c r="M26" s="1140"/>
      <c r="N26" s="1140"/>
      <c r="O26" s="1140"/>
      <c r="P26" s="1132"/>
      <c r="Q26" s="1178"/>
      <c r="R26" s="1175"/>
    </row>
    <row r="27" spans="1:18" s="283" customFormat="1" ht="19.899999999999999" hidden="1" customHeight="1">
      <c r="A27" s="1233">
        <f>A25+1</f>
        <v>34</v>
      </c>
      <c r="B27" s="1209"/>
      <c r="C27" s="110" t="e">
        <f>VLOOKUP((LEFT(B27,3)),'ships name'!A:C,2,FALSE)</f>
        <v>#N/A</v>
      </c>
      <c r="D27" s="558"/>
      <c r="E27" s="1251"/>
      <c r="F27" s="1163" t="str">
        <f>RIGHT(B27,3)&amp;"W"</f>
        <v>W</v>
      </c>
      <c r="G27" s="505"/>
      <c r="H27" s="1141" t="s">
        <v>4087</v>
      </c>
      <c r="I27" s="1143">
        <f t="shared" si="10"/>
        <v>43335</v>
      </c>
      <c r="J27" s="1129">
        <f t="shared" si="10"/>
        <v>43337</v>
      </c>
      <c r="K27" s="1129">
        <f>K25+7</f>
        <v>43337</v>
      </c>
      <c r="L27" s="1135">
        <f>K27+7</f>
        <v>43344</v>
      </c>
      <c r="M27" s="1139">
        <f>K27+16</f>
        <v>43353</v>
      </c>
      <c r="N27" s="1139">
        <f>K27+17</f>
        <v>43354</v>
      </c>
      <c r="O27" s="1139">
        <f>N27+2</f>
        <v>43356</v>
      </c>
      <c r="P27" s="1131">
        <f>K27+20</f>
        <v>43357</v>
      </c>
      <c r="Q27" s="1177"/>
      <c r="R27" s="1172"/>
    </row>
    <row r="28" spans="1:18" s="283" customFormat="1" ht="19.899999999999999" hidden="1" customHeight="1">
      <c r="A28" s="1253"/>
      <c r="B28" s="1209"/>
      <c r="C28" s="109" t="e">
        <f>VLOOKUP((LEFT(B27,3)),'ships name'!A:C,3,FALSE)</f>
        <v>#N/A</v>
      </c>
      <c r="D28" s="493"/>
      <c r="E28" s="1233"/>
      <c r="F28" s="1164"/>
      <c r="G28" s="506"/>
      <c r="H28" s="1142"/>
      <c r="I28" s="1144"/>
      <c r="J28" s="1130"/>
      <c r="K28" s="1130"/>
      <c r="L28" s="1136"/>
      <c r="M28" s="1140"/>
      <c r="N28" s="1140"/>
      <c r="O28" s="1140"/>
      <c r="P28" s="1132"/>
      <c r="Q28" s="1178"/>
      <c r="R28" s="1175"/>
    </row>
    <row r="29" spans="1:18" s="283" customFormat="1" ht="19.899999999999999" hidden="1" customHeight="1">
      <c r="A29" s="1233">
        <f>A27+1</f>
        <v>35</v>
      </c>
      <c r="B29" s="1254"/>
      <c r="C29" s="110" t="e">
        <f>VLOOKUP((LEFT(B29,3)),'ships name'!A:C,2,FALSE)</f>
        <v>#N/A</v>
      </c>
      <c r="D29" s="558"/>
      <c r="E29" s="1251"/>
      <c r="F29" s="1257" t="str">
        <f>RIGHT(B29,3)&amp;"W"</f>
        <v>W</v>
      </c>
      <c r="G29" s="509"/>
      <c r="H29" s="1125" t="s">
        <v>4088</v>
      </c>
      <c r="I29" s="1179">
        <f>I27+7</f>
        <v>43342</v>
      </c>
      <c r="J29" s="1127">
        <f>J27+7</f>
        <v>43344</v>
      </c>
      <c r="K29" s="1127">
        <f>K27+7</f>
        <v>43344</v>
      </c>
      <c r="L29" s="1137">
        <f>K29+7</f>
        <v>43351</v>
      </c>
      <c r="M29" s="1145">
        <f>K29+16</f>
        <v>43360</v>
      </c>
      <c r="N29" s="1145">
        <f>K29+17</f>
        <v>43361</v>
      </c>
      <c r="O29" s="1145">
        <f>N29+2</f>
        <v>43363</v>
      </c>
      <c r="P29" s="1133">
        <f>K29+20</f>
        <v>43364</v>
      </c>
      <c r="Q29" s="1177"/>
      <c r="R29" s="1172"/>
    </row>
    <row r="30" spans="1:18" s="283" customFormat="1" ht="19.899999999999999" hidden="1" customHeight="1" thickBot="1">
      <c r="A30" s="1264"/>
      <c r="B30" s="1210"/>
      <c r="C30" s="111" t="e">
        <f>VLOOKUP((LEFT(B29,3)),'ships name'!A:C,3,FALSE)</f>
        <v>#N/A</v>
      </c>
      <c r="D30" s="511"/>
      <c r="E30" s="1252"/>
      <c r="F30" s="1211"/>
      <c r="G30" s="510"/>
      <c r="H30" s="1126"/>
      <c r="I30" s="1180"/>
      <c r="J30" s="1128"/>
      <c r="K30" s="1128"/>
      <c r="L30" s="1138"/>
      <c r="M30" s="1146"/>
      <c r="N30" s="1146"/>
      <c r="O30" s="1146"/>
      <c r="P30" s="1134"/>
      <c r="Q30" s="1178"/>
      <c r="R30" s="1175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14" t="s">
        <v>102</v>
      </c>
      <c r="B33" s="1215"/>
      <c r="C33" s="1215"/>
      <c r="D33" s="550"/>
      <c r="E33" s="226" t="s">
        <v>74</v>
      </c>
      <c r="F33" s="226"/>
      <c r="G33" s="226"/>
      <c r="H33" s="1255" t="s">
        <v>75</v>
      </c>
      <c r="I33" s="1255"/>
      <c r="J33" s="1255"/>
      <c r="K33" s="1176" t="s">
        <v>2</v>
      </c>
      <c r="L33" s="1170"/>
      <c r="M33" s="1170"/>
      <c r="N33" s="1171"/>
      <c r="O33" s="223"/>
      <c r="P33" s="223"/>
      <c r="Q33" s="223"/>
    </row>
    <row r="34" spans="1:17" ht="19.899999999999999" customHeight="1">
      <c r="A34" s="1216" t="s">
        <v>3</v>
      </c>
      <c r="B34" s="1218" t="s">
        <v>4</v>
      </c>
      <c r="C34" s="1220" t="s">
        <v>5</v>
      </c>
      <c r="D34" s="1153" t="s">
        <v>4291</v>
      </c>
      <c r="E34" s="1154" t="s">
        <v>6</v>
      </c>
      <c r="F34" s="1155"/>
      <c r="G34" s="1156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4523</v>
      </c>
      <c r="N34" s="295" t="s">
        <v>105</v>
      </c>
    </row>
    <row r="35" spans="1:17" ht="19.899999999999999" customHeight="1">
      <c r="A35" s="1216"/>
      <c r="B35" s="1218"/>
      <c r="C35" s="1220"/>
      <c r="D35" s="1097"/>
      <c r="E35" s="1097" t="s">
        <v>13</v>
      </c>
      <c r="F35" s="1099" t="s">
        <v>14</v>
      </c>
      <c r="G35" s="1100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217"/>
      <c r="B36" s="1219"/>
      <c r="C36" s="1221"/>
      <c r="D36" s="1098"/>
      <c r="E36" s="1098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23</v>
      </c>
      <c r="B37" s="610" t="s">
        <v>4533</v>
      </c>
      <c r="C37" s="493" t="str">
        <f>VLOOKUP((LEFT(B37,3)),'ships name'!A:C,2,FALSE)</f>
        <v>COSCO SHIPPING PISCES</v>
      </c>
      <c r="D37" s="809" t="str">
        <f>VLOOKUP(C37,'ships name'!B:C,2,FALSE)</f>
        <v xml:space="preserve"> </v>
      </c>
      <c r="E37" s="610" t="str">
        <f>TEXT(LEFT(F37,3)-1,"000")&amp;"E"</f>
        <v>003E</v>
      </c>
      <c r="F37" s="611" t="str">
        <f>RIGHT(B37,3)&amp;"W"</f>
        <v>004W</v>
      </c>
      <c r="G37" s="611" t="s">
        <v>4535</v>
      </c>
      <c r="H37" s="611"/>
      <c r="I37" s="611">
        <f>J37-1</f>
        <v>43617</v>
      </c>
      <c r="J37" s="611">
        <v>43618</v>
      </c>
      <c r="K37" s="611">
        <f>J37+7</f>
        <v>43625</v>
      </c>
      <c r="L37" s="611">
        <f>J37+17</f>
        <v>43635</v>
      </c>
      <c r="M37" s="611">
        <f>J37+19</f>
        <v>43637</v>
      </c>
      <c r="N37" s="612">
        <f>J37+22</f>
        <v>43640</v>
      </c>
    </row>
    <row r="38" spans="1:17" ht="19.899999999999999" customHeight="1">
      <c r="A38" s="620">
        <f>A37+1</f>
        <v>24</v>
      </c>
      <c r="B38" s="577" t="s">
        <v>4632</v>
      </c>
      <c r="C38" s="499" t="str">
        <f>VLOOKUP((LEFT(B38,3)),'ships name'!A:C,2,FALSE)</f>
        <v>COSCO SHIPPING HIMALAYAS</v>
      </c>
      <c r="D38" s="809" t="str">
        <f>VLOOKUP(C38,'ships name'!B:C,2,FALSE)</f>
        <v>中远海运喜马拉雅</v>
      </c>
      <c r="E38" s="577" t="str">
        <f>TEXT(LEFT(F38,3)-1,"000")&amp;"E"</f>
        <v>014E</v>
      </c>
      <c r="F38" s="580" t="str">
        <f>RIGHT(B38,3)&amp;"W"</f>
        <v>015W</v>
      </c>
      <c r="G38" s="580" t="s">
        <v>4636</v>
      </c>
      <c r="H38" s="580"/>
      <c r="I38" s="580">
        <f t="shared" ref="I38:K41" si="11">I37+7</f>
        <v>43624</v>
      </c>
      <c r="J38" s="580">
        <f t="shared" si="11"/>
        <v>43625</v>
      </c>
      <c r="K38" s="580">
        <f t="shared" si="11"/>
        <v>43632</v>
      </c>
      <c r="L38" s="611">
        <f t="shared" ref="L38:L41" si="12">J38+17</f>
        <v>43642</v>
      </c>
      <c r="M38" s="611">
        <f t="shared" ref="M38:M41" si="13">J38+19</f>
        <v>43644</v>
      </c>
      <c r="N38" s="612">
        <f t="shared" ref="N38:N41" si="14">J38+22</f>
        <v>43647</v>
      </c>
      <c r="O38" s="523"/>
    </row>
    <row r="39" spans="1:17" ht="19.899999999999999" customHeight="1">
      <c r="A39" s="620">
        <f>A38+1</f>
        <v>25</v>
      </c>
      <c r="B39" s="577" t="s">
        <v>4633</v>
      </c>
      <c r="C39" s="499" t="str">
        <f>VLOOKUP((LEFT(B39,3)),'ships name'!A:C,2,FALSE)</f>
        <v>CSCL ATLANTIC OCEAN</v>
      </c>
      <c r="D39" s="809" t="str">
        <f>VLOOKUP(C39,'ships name'!B:C,2,FALSE)</f>
        <v>中海大西洋</v>
      </c>
      <c r="E39" s="577" t="str">
        <f>TEXT(LEFT(F39,3)-1,"000")&amp;"E"</f>
        <v>028E</v>
      </c>
      <c r="F39" s="580" t="str">
        <f>RIGHT(B39,3)&amp;"W"</f>
        <v>029W</v>
      </c>
      <c r="G39" s="580" t="s">
        <v>4637</v>
      </c>
      <c r="H39" s="580"/>
      <c r="I39" s="580">
        <f t="shared" si="11"/>
        <v>43631</v>
      </c>
      <c r="J39" s="580">
        <f t="shared" si="11"/>
        <v>43632</v>
      </c>
      <c r="K39" s="580">
        <f t="shared" si="11"/>
        <v>43639</v>
      </c>
      <c r="L39" s="611">
        <f t="shared" si="12"/>
        <v>43649</v>
      </c>
      <c r="M39" s="611">
        <f t="shared" si="13"/>
        <v>43651</v>
      </c>
      <c r="N39" s="612">
        <f t="shared" si="14"/>
        <v>43654</v>
      </c>
      <c r="O39" s="523"/>
    </row>
    <row r="40" spans="1:17" ht="19.899999999999999" customHeight="1">
      <c r="A40" s="620">
        <f>A39+1</f>
        <v>26</v>
      </c>
      <c r="B40" s="577" t="s">
        <v>4634</v>
      </c>
      <c r="C40" s="499" t="str">
        <f>VLOOKUP((LEFT(B40,3)),'ships name'!A:C,2,FALSE)</f>
        <v>COSCO SHIPPING SOLAR</v>
      </c>
      <c r="D40" s="809" t="str">
        <f>VLOOKUP(C40,'ships name'!B:C,2,FALSE)</f>
        <v xml:space="preserve"> </v>
      </c>
      <c r="E40" s="577" t="str">
        <f>TEXT(LEFT(F40,3)-1,"000")&amp;"E"</f>
        <v>001E</v>
      </c>
      <c r="F40" s="580" t="str">
        <f>RIGHT(B40,3)&amp;"W"</f>
        <v>002W</v>
      </c>
      <c r="G40" s="580" t="s">
        <v>4638</v>
      </c>
      <c r="H40" s="580"/>
      <c r="I40" s="580">
        <f t="shared" si="11"/>
        <v>43638</v>
      </c>
      <c r="J40" s="580">
        <f t="shared" si="11"/>
        <v>43639</v>
      </c>
      <c r="K40" s="580">
        <f t="shared" si="11"/>
        <v>43646</v>
      </c>
      <c r="L40" s="611">
        <f t="shared" si="12"/>
        <v>43656</v>
      </c>
      <c r="M40" s="611">
        <f t="shared" si="13"/>
        <v>43658</v>
      </c>
      <c r="N40" s="612">
        <f t="shared" si="14"/>
        <v>43661</v>
      </c>
      <c r="O40" s="523"/>
    </row>
    <row r="41" spans="1:17" ht="19.899999999999999" customHeight="1" thickBot="1">
      <c r="A41" s="821">
        <f>A40+1</f>
        <v>27</v>
      </c>
      <c r="B41" s="581" t="s">
        <v>4635</v>
      </c>
      <c r="C41" s="811" t="str">
        <f>VLOOKUP((LEFT(B41,3)),'ships name'!A:C,2,FALSE)</f>
        <v>CSCL INDIAN OCEAN</v>
      </c>
      <c r="D41" s="815" t="str">
        <f>VLOOKUP(C41,'ships name'!B:C,2,FALSE)</f>
        <v>中海印度洋</v>
      </c>
      <c r="E41" s="581" t="str">
        <f>TEXT(LEFT(F41,3)-1,"000")&amp;"E"</f>
        <v>030E</v>
      </c>
      <c r="F41" s="613" t="str">
        <f>RIGHT(B41,3)&amp;"W"</f>
        <v>031W</v>
      </c>
      <c r="G41" s="580" t="s">
        <v>4639</v>
      </c>
      <c r="H41" s="613"/>
      <c r="I41" s="613">
        <f t="shared" si="11"/>
        <v>43645</v>
      </c>
      <c r="J41" s="613">
        <f t="shared" si="11"/>
        <v>43646</v>
      </c>
      <c r="K41" s="613">
        <f t="shared" si="11"/>
        <v>43653</v>
      </c>
      <c r="L41" s="611">
        <f t="shared" si="12"/>
        <v>43663</v>
      </c>
      <c r="M41" s="611">
        <f t="shared" si="13"/>
        <v>43665</v>
      </c>
      <c r="N41" s="612">
        <f t="shared" si="14"/>
        <v>43668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214" t="s">
        <v>106</v>
      </c>
      <c r="B43" s="1215"/>
      <c r="C43" s="1215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76" t="s">
        <v>2</v>
      </c>
      <c r="L43" s="1170"/>
      <c r="M43" s="1170"/>
      <c r="N43" s="1171"/>
      <c r="O43" s="223"/>
      <c r="P43" s="223"/>
      <c r="Q43" s="223"/>
    </row>
    <row r="44" spans="1:17" ht="19.899999999999999" hidden="1" customHeight="1">
      <c r="A44" s="1216" t="s">
        <v>3</v>
      </c>
      <c r="B44" s="1218" t="s">
        <v>4</v>
      </c>
      <c r="C44" s="1220" t="s">
        <v>5</v>
      </c>
      <c r="D44" s="1153" t="s">
        <v>4291</v>
      </c>
      <c r="E44" s="1154" t="s">
        <v>6</v>
      </c>
      <c r="F44" s="1155"/>
      <c r="G44" s="1156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16"/>
      <c r="B45" s="1218"/>
      <c r="C45" s="1220"/>
      <c r="D45" s="1097"/>
      <c r="E45" s="1097" t="s">
        <v>13</v>
      </c>
      <c r="F45" s="1099" t="s">
        <v>14</v>
      </c>
      <c r="G45" s="1100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17"/>
      <c r="B46" s="1219"/>
      <c r="C46" s="1221"/>
      <c r="D46" s="1098"/>
      <c r="E46" s="1098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14" t="s">
        <v>3300</v>
      </c>
      <c r="B53" s="1215"/>
      <c r="C53" s="1215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76" t="s">
        <v>2</v>
      </c>
      <c r="L53" s="1170"/>
      <c r="M53" s="1170"/>
      <c r="N53" s="1170"/>
      <c r="O53" s="1170"/>
      <c r="P53" s="1171"/>
      <c r="Q53" s="223"/>
    </row>
    <row r="54" spans="1:19" ht="19.899999999999999" customHeight="1">
      <c r="A54" s="1216" t="s">
        <v>3</v>
      </c>
      <c r="B54" s="1218" t="s">
        <v>4</v>
      </c>
      <c r="C54" s="1220" t="s">
        <v>5</v>
      </c>
      <c r="D54" s="1153" t="s">
        <v>4291</v>
      </c>
      <c r="E54" s="1154" t="s">
        <v>6</v>
      </c>
      <c r="F54" s="1155"/>
      <c r="G54" s="1156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216"/>
      <c r="B55" s="1218"/>
      <c r="C55" s="1220"/>
      <c r="D55" s="1097"/>
      <c r="E55" s="1097" t="s">
        <v>13</v>
      </c>
      <c r="F55" s="1099" t="s">
        <v>14</v>
      </c>
      <c r="G55" s="1100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217"/>
      <c r="B56" s="1219"/>
      <c r="C56" s="1221"/>
      <c r="D56" s="1098"/>
      <c r="E56" s="1098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23</v>
      </c>
      <c r="B57" s="622" t="s">
        <v>3766</v>
      </c>
      <c r="C57" s="497" t="str">
        <f>VLOOKUP((LEFT(B57,3)),'ships name'!A:C,2,FALSE)</f>
        <v xml:space="preserve">void sailing </v>
      </c>
      <c r="D57" s="809">
        <f>VLOOKUP(C57,'ships name'!B:C,2,FALSE)</f>
        <v>0</v>
      </c>
      <c r="E57" s="622" t="e">
        <f>TEXT(LEFT(F57,3)-1,"000")&amp;"E"</f>
        <v>#VALUE!</v>
      </c>
      <c r="F57" s="698" t="str">
        <f>RIGHT(B57,3)&amp;"W"</f>
        <v>oidW</v>
      </c>
      <c r="G57" s="559" t="s">
        <v>4534</v>
      </c>
      <c r="H57" s="699">
        <f>I57</f>
        <v>43618</v>
      </c>
      <c r="I57" s="698">
        <f>J57-2</f>
        <v>43618</v>
      </c>
      <c r="J57" s="698">
        <v>43620</v>
      </c>
      <c r="K57" s="698">
        <f>J57+7</f>
        <v>43627</v>
      </c>
      <c r="L57" s="698">
        <f>J57+8</f>
        <v>43628</v>
      </c>
      <c r="M57" s="698">
        <f>J57+17</f>
        <v>43637</v>
      </c>
      <c r="N57" s="698">
        <f>J57+19</f>
        <v>43639</v>
      </c>
      <c r="O57" s="698">
        <f>J57+21</f>
        <v>43641</v>
      </c>
      <c r="P57" s="698">
        <f>J57+24</f>
        <v>43644</v>
      </c>
    </row>
    <row r="58" spans="1:19" ht="19.899999999999999" customHeight="1">
      <c r="A58" s="620">
        <f t="shared" ref="A58:A61" si="20">A57+1</f>
        <v>24</v>
      </c>
      <c r="B58" s="624" t="s">
        <v>4640</v>
      </c>
      <c r="C58" s="623" t="str">
        <f>VLOOKUP((LEFT(B58,3)),'ships name'!A:C,2,FALSE)</f>
        <v>Hyundai Drive</v>
      </c>
      <c r="D58" s="809" t="str">
        <f>VLOOKUP(C58,'ships name'!B:C,2,FALSE)</f>
        <v>现代动力</v>
      </c>
      <c r="E58" s="624" t="str">
        <f>TEXT(LEFT(F58,3)-1,"000")&amp;"E"</f>
        <v>028E</v>
      </c>
      <c r="F58" s="625" t="str">
        <f>RIGHT(B58,3)&amp;"W"</f>
        <v>029W</v>
      </c>
      <c r="G58" s="626" t="s">
        <v>4644</v>
      </c>
      <c r="H58" s="627">
        <f>I58</f>
        <v>43625</v>
      </c>
      <c r="I58" s="625">
        <f t="shared" ref="I58:M61" si="21">I57+7</f>
        <v>43625</v>
      </c>
      <c r="J58" s="625">
        <f t="shared" si="21"/>
        <v>43627</v>
      </c>
      <c r="K58" s="625">
        <f t="shared" si="21"/>
        <v>43634</v>
      </c>
      <c r="L58" s="625">
        <f t="shared" si="21"/>
        <v>43635</v>
      </c>
      <c r="M58" s="625">
        <f t="shared" si="21"/>
        <v>43644</v>
      </c>
      <c r="N58" s="625">
        <f t="shared" ref="N58" si="22">J58+19</f>
        <v>43646</v>
      </c>
      <c r="O58" s="625">
        <f t="shared" ref="O58" si="23">J58+21</f>
        <v>43648</v>
      </c>
      <c r="P58" s="625">
        <f t="shared" ref="P58" si="24">J58+24</f>
        <v>43651</v>
      </c>
    </row>
    <row r="59" spans="1:19" ht="19.899999999999999" customHeight="1">
      <c r="A59" s="620">
        <f t="shared" si="20"/>
        <v>25</v>
      </c>
      <c r="B59" s="624" t="s">
        <v>4641</v>
      </c>
      <c r="C59" s="623" t="str">
        <f>VLOOKUP((LEFT(B59,3)),'ships name'!A:C,2,FALSE)</f>
        <v>Hyundai Pride</v>
      </c>
      <c r="D59" s="809" t="str">
        <f>VLOOKUP(C59,'ships name'!B:C,2,FALSE)</f>
        <v>现代骄傲</v>
      </c>
      <c r="E59" s="624" t="str">
        <f>TEXT(LEFT(F59,3)-1,"000")&amp;"E"</f>
        <v>028E</v>
      </c>
      <c r="F59" s="625" t="str">
        <f>RIGHT(B59,3)&amp;"W"</f>
        <v>029W</v>
      </c>
      <c r="G59" s="626" t="s">
        <v>4645</v>
      </c>
      <c r="H59" s="627">
        <f>I59</f>
        <v>43632</v>
      </c>
      <c r="I59" s="625">
        <f t="shared" si="21"/>
        <v>43632</v>
      </c>
      <c r="J59" s="625">
        <f t="shared" si="21"/>
        <v>43634</v>
      </c>
      <c r="K59" s="625">
        <f t="shared" si="21"/>
        <v>43641</v>
      </c>
      <c r="L59" s="625">
        <f t="shared" si="21"/>
        <v>43642</v>
      </c>
      <c r="M59" s="625">
        <f t="shared" si="21"/>
        <v>43651</v>
      </c>
      <c r="N59" s="625">
        <f t="shared" ref="N59" si="25">J59+19</f>
        <v>43653</v>
      </c>
      <c r="O59" s="625">
        <f t="shared" ref="O59" si="26">J59+21</f>
        <v>43655</v>
      </c>
      <c r="P59" s="625">
        <f t="shared" ref="P59" si="27">J59+24</f>
        <v>43658</v>
      </c>
    </row>
    <row r="60" spans="1:19" ht="19.899999999999999" customHeight="1">
      <c r="A60" s="620">
        <f t="shared" si="20"/>
        <v>26</v>
      </c>
      <c r="B60" s="624" t="s">
        <v>4642</v>
      </c>
      <c r="C60" s="623" t="str">
        <f>VLOOKUP((LEFT(B60,3)),'ships name'!A:C,2,FALSE)</f>
        <v>HMM PROMISE</v>
      </c>
      <c r="D60" s="809" t="str">
        <f>VLOOKUP(C60,'ships name'!B:C,2,FALSE)</f>
        <v xml:space="preserve"> </v>
      </c>
      <c r="E60" s="624" t="str">
        <f>TEXT(LEFT(F60,3)-1,"000")&amp;"E"</f>
        <v>006E</v>
      </c>
      <c r="F60" s="625" t="str">
        <f>RIGHT(B60,3)&amp;"W"</f>
        <v>007W</v>
      </c>
      <c r="G60" s="626" t="s">
        <v>4646</v>
      </c>
      <c r="H60" s="627">
        <f>I60</f>
        <v>43639</v>
      </c>
      <c r="I60" s="625">
        <f t="shared" si="21"/>
        <v>43639</v>
      </c>
      <c r="J60" s="625">
        <f t="shared" si="21"/>
        <v>43641</v>
      </c>
      <c r="K60" s="625">
        <f t="shared" si="21"/>
        <v>43648</v>
      </c>
      <c r="L60" s="625">
        <f t="shared" si="21"/>
        <v>43649</v>
      </c>
      <c r="M60" s="625">
        <f t="shared" si="21"/>
        <v>43658</v>
      </c>
      <c r="N60" s="625">
        <f t="shared" ref="N60" si="28">J60+19</f>
        <v>43660</v>
      </c>
      <c r="O60" s="625">
        <f t="shared" ref="O60" si="29">J60+21</f>
        <v>43662</v>
      </c>
      <c r="P60" s="625">
        <f t="shared" ref="P60" si="30">J60+24</f>
        <v>43665</v>
      </c>
    </row>
    <row r="61" spans="1:19" ht="19.899999999999999" customHeight="1">
      <c r="A61" s="620">
        <f t="shared" si="20"/>
        <v>27</v>
      </c>
      <c r="B61" s="624" t="s">
        <v>4643</v>
      </c>
      <c r="C61" s="623" t="str">
        <f>VLOOKUP((LEFT(B61,3)),'ships name'!A:C,2,FALSE)</f>
        <v>Hyundai Victory</v>
      </c>
      <c r="D61" s="812" t="str">
        <f>VLOOKUP(C61,'ships name'!B:C,2,FALSE)</f>
        <v>现代胜利</v>
      </c>
      <c r="E61" s="624" t="str">
        <f>TEXT(LEFT(F61,3)-1,"000")&amp;"E"</f>
        <v>030E</v>
      </c>
      <c r="F61" s="625" t="str">
        <f>RIGHT(B61,3)&amp;"W"</f>
        <v>031W</v>
      </c>
      <c r="G61" s="626" t="s">
        <v>4647</v>
      </c>
      <c r="H61" s="627">
        <f>I61</f>
        <v>43646</v>
      </c>
      <c r="I61" s="625">
        <f t="shared" si="21"/>
        <v>43646</v>
      </c>
      <c r="J61" s="625">
        <f t="shared" si="21"/>
        <v>43648</v>
      </c>
      <c r="K61" s="625">
        <f t="shared" si="21"/>
        <v>43655</v>
      </c>
      <c r="L61" s="625">
        <f t="shared" si="21"/>
        <v>43656</v>
      </c>
      <c r="M61" s="625">
        <f t="shared" si="21"/>
        <v>43665</v>
      </c>
      <c r="N61" s="625">
        <f t="shared" ref="N61" si="31">J61+19</f>
        <v>43667</v>
      </c>
      <c r="O61" s="625">
        <f t="shared" ref="O61" si="32">J61+21</f>
        <v>43669</v>
      </c>
      <c r="P61" s="625">
        <f t="shared" ref="P61" si="33">J61+24</f>
        <v>43672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14" t="s">
        <v>111</v>
      </c>
      <c r="B63" s="1215"/>
      <c r="C63" s="1215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70" t="s">
        <v>2</v>
      </c>
      <c r="L63" s="1170"/>
      <c r="M63" s="1170"/>
      <c r="N63" s="1170"/>
      <c r="O63" s="1171"/>
    </row>
    <row r="64" spans="1:19" ht="19.899999999999999" customHeight="1">
      <c r="A64" s="1234" t="s">
        <v>3</v>
      </c>
      <c r="B64" s="1222" t="s">
        <v>4</v>
      </c>
      <c r="C64" s="1236" t="s">
        <v>5</v>
      </c>
      <c r="D64" s="1153" t="s">
        <v>4291</v>
      </c>
      <c r="E64" s="1154" t="s">
        <v>6</v>
      </c>
      <c r="F64" s="1155"/>
      <c r="G64" s="1156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34"/>
      <c r="B65" s="1222"/>
      <c r="C65" s="1236"/>
      <c r="D65" s="1097"/>
      <c r="E65" s="1097" t="s">
        <v>13</v>
      </c>
      <c r="F65" s="1099" t="s">
        <v>14</v>
      </c>
      <c r="G65" s="1100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35"/>
      <c r="B66" s="1223"/>
      <c r="C66" s="1237"/>
      <c r="D66" s="1098"/>
      <c r="E66" s="1098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23</v>
      </c>
      <c r="B67" s="610" t="s">
        <v>4648</v>
      </c>
      <c r="C67" s="493" t="str">
        <f>VLOOKUP((LEFT(B67,3)),'ships name'!A:C,2,FALSE)</f>
        <v>EVER UTILE</v>
      </c>
      <c r="D67" s="809" t="str">
        <f>VLOOKUP(C67,'ships name'!B:C,2,FALSE)</f>
        <v>长实轮</v>
      </c>
      <c r="E67" s="610" t="str">
        <f>TEXT(LEFT(F67,3)-1,"000")&amp;"E"</f>
        <v>135E</v>
      </c>
      <c r="F67" s="611" t="str">
        <f>RIGHT(B67,3)&amp;"W"</f>
        <v>136W</v>
      </c>
      <c r="G67" s="501" t="s">
        <v>4652</v>
      </c>
      <c r="H67" s="611">
        <f>I67-1</f>
        <v>43619</v>
      </c>
      <c r="I67" s="611">
        <f>J67-1</f>
        <v>43620</v>
      </c>
      <c r="J67" s="611">
        <v>43621</v>
      </c>
      <c r="K67" s="611">
        <f>J67+9</f>
        <v>43630</v>
      </c>
      <c r="L67" s="611">
        <f>J67+13</f>
        <v>43634</v>
      </c>
      <c r="M67" s="611">
        <f>J67+18</f>
        <v>43639</v>
      </c>
      <c r="N67" s="611">
        <f>J67+20</f>
        <v>43641</v>
      </c>
      <c r="O67" s="621">
        <f>J67+26</f>
        <v>43647</v>
      </c>
    </row>
    <row r="68" spans="1:20" ht="19.899999999999999" customHeight="1">
      <c r="A68" s="620">
        <f t="shared" ref="A68:A71" si="34">A67+1</f>
        <v>24</v>
      </c>
      <c r="B68" s="577" t="s">
        <v>4649</v>
      </c>
      <c r="C68" s="499" t="str">
        <f>VLOOKUP((LEFT(B68,3)),'ships name'!A:C,2,FALSE)</f>
        <v>EVER UNIFIC</v>
      </c>
      <c r="D68" s="809" t="str">
        <f>VLOOKUP(C68,'ships name'!B:C,2,FALSE)</f>
        <v xml:space="preserve"> </v>
      </c>
      <c r="E68" s="577" t="str">
        <f>TEXT(LEFT(F68,3)-1,"000")&amp;"E"</f>
        <v>138E</v>
      </c>
      <c r="F68" s="580" t="str">
        <f>RIGHT(B68,3)&amp;"W"</f>
        <v>139W</v>
      </c>
      <c r="G68" s="487" t="s">
        <v>4653</v>
      </c>
      <c r="H68" s="580">
        <f>I68-1</f>
        <v>43626</v>
      </c>
      <c r="I68" s="580">
        <f t="shared" ref="I68:J71" si="35">I67+7</f>
        <v>43627</v>
      </c>
      <c r="J68" s="580">
        <f t="shared" si="35"/>
        <v>43628</v>
      </c>
      <c r="K68" s="580">
        <f>J68+9</f>
        <v>43637</v>
      </c>
      <c r="L68" s="580">
        <f>J68+13</f>
        <v>43641</v>
      </c>
      <c r="M68" s="580">
        <f>J68+18</f>
        <v>43646</v>
      </c>
      <c r="N68" s="580">
        <f>J68+20</f>
        <v>43648</v>
      </c>
      <c r="O68" s="628">
        <f>J68+26</f>
        <v>43654</v>
      </c>
    </row>
    <row r="69" spans="1:20" ht="19.899999999999999" customHeight="1">
      <c r="A69" s="620">
        <f t="shared" si="34"/>
        <v>25</v>
      </c>
      <c r="B69" s="577" t="s">
        <v>4650</v>
      </c>
      <c r="C69" s="499" t="str">
        <f>VLOOKUP((LEFT(B69,3)),'ships name'!A:C,2,FALSE)</f>
        <v>EVER URSULA</v>
      </c>
      <c r="D69" s="809" t="str">
        <f>VLOOKUP(C69,'ships name'!B:C,2,FALSE)</f>
        <v>长勇轮</v>
      </c>
      <c r="E69" s="577" t="str">
        <f>TEXT(LEFT(F69,3)-1,"000")&amp;"E"</f>
        <v>152E</v>
      </c>
      <c r="F69" s="580" t="str">
        <f>RIGHT(B69,3)&amp;"W"</f>
        <v>153W</v>
      </c>
      <c r="G69" s="487" t="s">
        <v>4654</v>
      </c>
      <c r="H69" s="580">
        <f>I69-1</f>
        <v>43633</v>
      </c>
      <c r="I69" s="580">
        <f t="shared" si="35"/>
        <v>43634</v>
      </c>
      <c r="J69" s="580">
        <f t="shared" si="35"/>
        <v>43635</v>
      </c>
      <c r="K69" s="580">
        <f>J69+9</f>
        <v>43644</v>
      </c>
      <c r="L69" s="580">
        <f>J69+13</f>
        <v>43648</v>
      </c>
      <c r="M69" s="580">
        <f>J69+18</f>
        <v>43653</v>
      </c>
      <c r="N69" s="580">
        <f>J69+20</f>
        <v>43655</v>
      </c>
      <c r="O69" s="628">
        <f>J69+26</f>
        <v>43661</v>
      </c>
    </row>
    <row r="70" spans="1:20" ht="19.899999999999999" customHeight="1">
      <c r="A70" s="620">
        <f t="shared" si="34"/>
        <v>26</v>
      </c>
      <c r="B70" s="577" t="s">
        <v>4651</v>
      </c>
      <c r="C70" s="499" t="str">
        <f>VLOOKUP((LEFT(B70,3)),'ships name'!A:C,2,FALSE)</f>
        <v>EVER URBAN</v>
      </c>
      <c r="D70" s="809">
        <f>VLOOKUP(C70,'ships name'!B:C,2,FALSE)</f>
        <v>0</v>
      </c>
      <c r="E70" s="577" t="str">
        <f>TEXT(LEFT(F70,3)-1,"000")&amp;"E"</f>
        <v>148E</v>
      </c>
      <c r="F70" s="580" t="str">
        <f>RIGHT(B70,3)&amp;"W"</f>
        <v>149W</v>
      </c>
      <c r="G70" s="487" t="s">
        <v>4655</v>
      </c>
      <c r="H70" s="580">
        <f>I70-1</f>
        <v>43640</v>
      </c>
      <c r="I70" s="580">
        <f t="shared" si="35"/>
        <v>43641</v>
      </c>
      <c r="J70" s="580">
        <f t="shared" si="35"/>
        <v>43642</v>
      </c>
      <c r="K70" s="580">
        <f>J70+9</f>
        <v>43651</v>
      </c>
      <c r="L70" s="580">
        <f>J70+13</f>
        <v>43655</v>
      </c>
      <c r="M70" s="580">
        <f>J70+18</f>
        <v>43660</v>
      </c>
      <c r="N70" s="580">
        <f>J70+20</f>
        <v>43662</v>
      </c>
      <c r="O70" s="628">
        <f>J70+26</f>
        <v>43668</v>
      </c>
    </row>
    <row r="71" spans="1:20" ht="19.899999999999999" customHeight="1">
      <c r="A71" s="620">
        <f t="shared" si="34"/>
        <v>27</v>
      </c>
      <c r="B71" s="577" t="s">
        <v>27</v>
      </c>
      <c r="C71" s="499" t="str">
        <f>VLOOKUP((LEFT(B71,3)),'ships name'!A:C,2,FALSE)</f>
        <v>TO BE ADVISED</v>
      </c>
      <c r="D71" s="812" t="str">
        <f>VLOOKUP(C71,'ships name'!B:C,2,FALSE)</f>
        <v>TO BE ADVISED</v>
      </c>
      <c r="E71" s="577" t="e">
        <f>TEXT(LEFT(F71,3)-1,"000")&amp;"E"</f>
        <v>#VALUE!</v>
      </c>
      <c r="F71" s="580" t="str">
        <f>RIGHT(B71,3)&amp;"W"</f>
        <v>TBAW</v>
      </c>
      <c r="G71" s="487" t="s">
        <v>4656</v>
      </c>
      <c r="H71" s="580">
        <f>I71-1</f>
        <v>43647</v>
      </c>
      <c r="I71" s="580">
        <f t="shared" si="35"/>
        <v>43648</v>
      </c>
      <c r="J71" s="580">
        <f t="shared" si="35"/>
        <v>43649</v>
      </c>
      <c r="K71" s="580">
        <f>J71+9</f>
        <v>43658</v>
      </c>
      <c r="L71" s="580">
        <f>J71+13</f>
        <v>43662</v>
      </c>
      <c r="M71" s="580">
        <f>J71+18</f>
        <v>43667</v>
      </c>
      <c r="N71" s="580">
        <f>J71+20</f>
        <v>43669</v>
      </c>
      <c r="O71" s="628">
        <f>J71+26</f>
        <v>43675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182" t="s">
        <v>1</v>
      </c>
      <c r="I73" s="1182"/>
      <c r="J73" s="1182"/>
      <c r="K73" s="1182" t="s">
        <v>58</v>
      </c>
      <c r="L73" s="1182"/>
      <c r="M73" s="1183"/>
      <c r="N73" s="1186" t="s">
        <v>2</v>
      </c>
      <c r="O73" s="1187"/>
    </row>
    <row r="74" spans="1:20" ht="19.899999999999999" hidden="1" customHeight="1">
      <c r="A74" s="1226" t="s">
        <v>3</v>
      </c>
      <c r="B74" s="1209" t="s">
        <v>4</v>
      </c>
      <c r="C74" s="1209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26"/>
      <c r="B75" s="1209"/>
      <c r="C75" s="1209"/>
      <c r="D75" s="439"/>
      <c r="E75" s="1209" t="s">
        <v>121</v>
      </c>
      <c r="F75" s="1209" t="s">
        <v>29</v>
      </c>
      <c r="G75" s="439"/>
      <c r="H75" s="1209" t="s">
        <v>122</v>
      </c>
      <c r="I75" s="1209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27"/>
      <c r="B76" s="1210"/>
      <c r="C76" s="1210"/>
      <c r="D76" s="616"/>
      <c r="E76" s="1210"/>
      <c r="F76" s="1210"/>
      <c r="G76" s="616"/>
      <c r="H76" s="1210"/>
      <c r="I76" s="1210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28">
        <f>A67</f>
        <v>23</v>
      </c>
      <c r="B77" s="1232" t="s">
        <v>130</v>
      </c>
      <c r="C77" s="110" t="str">
        <f>VLOOKUP((LEFT(B77,3)),'ships name'!A:C,2,FALSE)</f>
        <v>KEA</v>
      </c>
      <c r="D77" s="558"/>
      <c r="E77" s="1212" t="str">
        <f>TEXT(LEFT(H77,3)-1,"000")&amp;"E"</f>
        <v>011E</v>
      </c>
      <c r="F77" s="1163" t="str">
        <f>E77</f>
        <v>011E</v>
      </c>
      <c r="G77" s="505"/>
      <c r="H77" s="1212" t="str">
        <f>RIGHT(B77,3)&amp;"W"</f>
        <v>012W</v>
      </c>
      <c r="I77" s="1207" t="str">
        <f>"W"&amp;LEFT(H77,3)</f>
        <v>W012</v>
      </c>
      <c r="J77" s="1205">
        <f>L77-2</f>
        <v>42828</v>
      </c>
      <c r="K77" s="1190">
        <f>J77+1</f>
        <v>42829</v>
      </c>
      <c r="L77" s="1192">
        <v>42830</v>
      </c>
      <c r="M77" s="1205">
        <f>L77+18</f>
        <v>42848</v>
      </c>
      <c r="N77" s="1188">
        <f>L77+20</f>
        <v>42850</v>
      </c>
    </row>
    <row r="78" spans="1:20" ht="19.899999999999999" hidden="1" customHeight="1">
      <c r="A78" s="1226"/>
      <c r="B78" s="1195"/>
      <c r="C78" s="109" t="str">
        <f>VLOOKUP((LEFT(B77,3)),'ships name'!A:C,3,FALSE)</f>
        <v>宏润</v>
      </c>
      <c r="D78" s="493"/>
      <c r="E78" s="1205"/>
      <c r="F78" s="1164"/>
      <c r="G78" s="506"/>
      <c r="H78" s="1205"/>
      <c r="I78" s="1208"/>
      <c r="J78" s="1195"/>
      <c r="K78" s="1195"/>
      <c r="L78" s="1192"/>
      <c r="M78" s="1195"/>
      <c r="N78" s="1189"/>
    </row>
    <row r="79" spans="1:20" ht="19.899999999999999" hidden="1" customHeight="1">
      <c r="A79" s="1229">
        <f>A68</f>
        <v>24</v>
      </c>
      <c r="B79" s="1233" t="s">
        <v>131</v>
      </c>
      <c r="C79" s="110" t="str">
        <f>VLOOKUP((LEFT(B79,3)),'ships name'!A:C,2,FALSE)</f>
        <v>OOCL CHICAGO</v>
      </c>
      <c r="D79" s="558"/>
      <c r="E79" s="1212" t="str">
        <f>TEXT(LEFT(H79,3)-1,"000")&amp;"E"</f>
        <v>038E</v>
      </c>
      <c r="F79" s="1163" t="str">
        <f>E79</f>
        <v>038E</v>
      </c>
      <c r="G79" s="505"/>
      <c r="H79" s="1212" t="str">
        <f>RIGHT(B79,3)&amp;"W"</f>
        <v>039W</v>
      </c>
      <c r="I79" s="1207" t="str">
        <f>"W"&amp;LEFT(H79,3)</f>
        <v>W039</v>
      </c>
      <c r="J79" s="1213">
        <f>J77+7</f>
        <v>42835</v>
      </c>
      <c r="K79" s="1184">
        <f>J79+1</f>
        <v>42836</v>
      </c>
      <c r="L79" s="1169">
        <f>K79+1</f>
        <v>42837</v>
      </c>
      <c r="M79" s="1198">
        <f>L79+18</f>
        <v>42855</v>
      </c>
      <c r="N79" s="1130">
        <f>L79+20</f>
        <v>42857</v>
      </c>
    </row>
    <row r="80" spans="1:20" ht="19.899999999999999" hidden="1" customHeight="1">
      <c r="A80" s="1226"/>
      <c r="B80" s="1195"/>
      <c r="C80" s="109" t="str">
        <f>VLOOKUP((LEFT(B79,3)),'ships name'!A:C,3,FALSE)</f>
        <v>东方芝加哥</v>
      </c>
      <c r="D80" s="493"/>
      <c r="E80" s="1205"/>
      <c r="F80" s="1164"/>
      <c r="G80" s="506"/>
      <c r="H80" s="1205"/>
      <c r="I80" s="1208"/>
      <c r="J80" s="1198"/>
      <c r="K80" s="1185"/>
      <c r="L80" s="1169"/>
      <c r="M80" s="1185"/>
      <c r="N80" s="1206"/>
    </row>
    <row r="81" spans="1:19" ht="19.899999999999999" hidden="1" customHeight="1">
      <c r="A81" s="1229">
        <f>A69</f>
        <v>25</v>
      </c>
      <c r="B81" s="1230"/>
      <c r="C81" s="110" t="e">
        <f>VLOOKUP((LEFT(B81,3)),'ships name'!A:C,2,FALSE)</f>
        <v>#N/A</v>
      </c>
      <c r="D81" s="558"/>
      <c r="E81" s="1212" t="e">
        <f>TEXT(LEFT(H81,3)-1,"000")&amp;"E"</f>
        <v>#VALUE!</v>
      </c>
      <c r="F81" s="1163" t="e">
        <f>E81</f>
        <v>#VALUE!</v>
      </c>
      <c r="G81" s="505"/>
      <c r="H81" s="1212" t="str">
        <f>RIGHT(B81,3)&amp;"W"</f>
        <v>W</v>
      </c>
      <c r="I81" s="1207" t="str">
        <f>"W"&amp;LEFT(H81,3)</f>
        <v>WW</v>
      </c>
      <c r="J81" s="1213">
        <f>J79+7</f>
        <v>42842</v>
      </c>
      <c r="K81" s="1184">
        <f>J81+1</f>
        <v>42843</v>
      </c>
      <c r="L81" s="1169">
        <f>K81+1</f>
        <v>42844</v>
      </c>
      <c r="M81" s="1198">
        <f>L81+18</f>
        <v>42862</v>
      </c>
      <c r="N81" s="1130">
        <f>L81+20</f>
        <v>42864</v>
      </c>
    </row>
    <row r="82" spans="1:19" ht="19.899999999999999" hidden="1" customHeight="1">
      <c r="A82" s="1226"/>
      <c r="B82" s="1231"/>
      <c r="C82" s="109" t="e">
        <f>VLOOKUP((LEFT(B81,3)),'ships name'!A:C,3,FALSE)</f>
        <v>#N/A</v>
      </c>
      <c r="D82" s="493"/>
      <c r="E82" s="1205"/>
      <c r="F82" s="1164"/>
      <c r="G82" s="506"/>
      <c r="H82" s="1205"/>
      <c r="I82" s="1208"/>
      <c r="J82" s="1198"/>
      <c r="K82" s="1185"/>
      <c r="L82" s="1169"/>
      <c r="M82" s="1185"/>
      <c r="N82" s="1206"/>
    </row>
    <row r="83" spans="1:19" ht="19.899999999999999" hidden="1" customHeight="1">
      <c r="A83" s="1229">
        <f>A70</f>
        <v>26</v>
      </c>
      <c r="B83" s="1224"/>
      <c r="C83" s="110" t="e">
        <f>VLOOKUP((LEFT(B83,3)),'ships name'!A:C,2,FALSE)</f>
        <v>#N/A</v>
      </c>
      <c r="D83" s="558"/>
      <c r="E83" s="1212" t="e">
        <f>TEXT(LEFT(H83,3)-1,"000")&amp;"E"</f>
        <v>#VALUE!</v>
      </c>
      <c r="F83" s="1163" t="e">
        <f>E83</f>
        <v>#VALUE!</v>
      </c>
      <c r="G83" s="505"/>
      <c r="H83" s="1212" t="str">
        <f>RIGHT(B83,3)&amp;"W"</f>
        <v>W</v>
      </c>
      <c r="I83" s="1207" t="str">
        <f>"W"&amp;LEFT(H83,3)</f>
        <v>WW</v>
      </c>
      <c r="J83" s="1184">
        <f>J81+7</f>
        <v>42849</v>
      </c>
      <c r="K83" s="1184">
        <f>J83+1</f>
        <v>42850</v>
      </c>
      <c r="L83" s="1169">
        <f>K83+1</f>
        <v>42851</v>
      </c>
      <c r="M83" s="1198">
        <f>L83+18</f>
        <v>42869</v>
      </c>
      <c r="N83" s="1130">
        <f>L83+20</f>
        <v>42871</v>
      </c>
    </row>
    <row r="84" spans="1:19" ht="19.899999999999999" hidden="1" customHeight="1">
      <c r="A84" s="1226"/>
      <c r="B84" s="1225"/>
      <c r="C84" s="109" t="e">
        <f>VLOOKUP((LEFT(B83,3)),'ships name'!A:C,3,FALSE)</f>
        <v>#N/A</v>
      </c>
      <c r="D84" s="493"/>
      <c r="E84" s="1205"/>
      <c r="F84" s="1164"/>
      <c r="G84" s="506"/>
      <c r="H84" s="1205"/>
      <c r="I84" s="1208"/>
      <c r="J84" s="1185"/>
      <c r="K84" s="1185"/>
      <c r="L84" s="1169"/>
      <c r="M84" s="1185"/>
      <c r="N84" s="1206"/>
      <c r="O84" s="289"/>
    </row>
    <row r="85" spans="1:19" ht="19.899999999999999" hidden="1" customHeight="1">
      <c r="A85" s="1229">
        <f>A71</f>
        <v>27</v>
      </c>
      <c r="B85" s="1195"/>
      <c r="C85" s="110" t="e">
        <f>VLOOKUP((LEFT(B85,3)),'ships name'!A:C,2,FALSE)</f>
        <v>#N/A</v>
      </c>
      <c r="D85" s="558"/>
      <c r="E85" s="1212" t="e">
        <f>TEXT(LEFT(H85,3)-1,"000")&amp;"E"</f>
        <v>#VALUE!</v>
      </c>
      <c r="F85" s="1163" t="e">
        <f>E85</f>
        <v>#VALUE!</v>
      </c>
      <c r="G85" s="505"/>
      <c r="H85" s="1212" t="str">
        <f>RIGHT(B85,3)&amp;"W"</f>
        <v>W</v>
      </c>
      <c r="I85" s="1203" t="str">
        <f>"W"&amp;LEFT(H85,3)</f>
        <v>WW</v>
      </c>
      <c r="J85" s="1190">
        <f>J83+7</f>
        <v>42856</v>
      </c>
      <c r="K85" s="1190">
        <f>J85+1</f>
        <v>42857</v>
      </c>
      <c r="L85" s="1192">
        <f>K85+1</f>
        <v>42858</v>
      </c>
      <c r="M85" s="1167">
        <f>L85+18</f>
        <v>42876</v>
      </c>
      <c r="N85" s="1192">
        <f>L85+20</f>
        <v>42878</v>
      </c>
      <c r="O85" s="289"/>
    </row>
    <row r="86" spans="1:19" ht="19.899999999999999" hidden="1" customHeight="1" thickBot="1">
      <c r="A86" s="1227"/>
      <c r="B86" s="1191"/>
      <c r="C86" s="111" t="e">
        <f>VLOOKUP((LEFT(B85,3)),'ships name'!A:C,3,FALSE)</f>
        <v>#N/A</v>
      </c>
      <c r="D86" s="511"/>
      <c r="E86" s="1126"/>
      <c r="F86" s="1211"/>
      <c r="G86" s="510"/>
      <c r="H86" s="1126"/>
      <c r="I86" s="1204"/>
      <c r="J86" s="1191"/>
      <c r="K86" s="1191"/>
      <c r="L86" s="1194"/>
      <c r="M86" s="1168"/>
      <c r="N86" s="1193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13" t="s">
        <v>132</v>
      </c>
      <c r="B89" s="1114"/>
      <c r="C89" s="1114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147" t="s">
        <v>2</v>
      </c>
      <c r="L89" s="1148"/>
      <c r="M89" s="1148"/>
      <c r="N89" s="1148"/>
      <c r="O89" s="1149"/>
      <c r="P89" s="102"/>
      <c r="Q89" s="102"/>
      <c r="R89" s="102"/>
      <c r="S89" s="102"/>
    </row>
    <row r="90" spans="1:19" s="290" customFormat="1" ht="19.899999999999999" customHeight="1">
      <c r="A90" s="1116" t="s">
        <v>3</v>
      </c>
      <c r="B90" s="1152" t="s">
        <v>4</v>
      </c>
      <c r="C90" s="1152" t="s">
        <v>5</v>
      </c>
      <c r="D90" s="1095" t="s">
        <v>4291</v>
      </c>
      <c r="E90" s="1109" t="s">
        <v>6</v>
      </c>
      <c r="F90" s="1110"/>
      <c r="G90" s="1111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16"/>
      <c r="B91" s="1119"/>
      <c r="C91" s="1119"/>
      <c r="D91" s="1097"/>
      <c r="E91" s="1097" t="s">
        <v>13</v>
      </c>
      <c r="F91" s="1099" t="s">
        <v>14</v>
      </c>
      <c r="G91" s="1100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7"/>
      <c r="B92" s="1120"/>
      <c r="C92" s="1120"/>
      <c r="D92" s="1098"/>
      <c r="E92" s="1098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23</v>
      </c>
      <c r="B93" s="610" t="s">
        <v>4660</v>
      </c>
      <c r="C93" s="1081" t="str">
        <f>VLOOKUP((LEFT(B93,3)),'ships name'!A:C,2,FALSE)</f>
        <v>THALASSA AXIA</v>
      </c>
      <c r="D93" s="809">
        <f>VLOOKUP(C93,'ships name'!B:C,2,FALSE)</f>
        <v>0</v>
      </c>
      <c r="E93" s="611" t="str">
        <f>TEXT(LEFT(F93,3)-1,"000")&amp;"E"</f>
        <v>025E</v>
      </c>
      <c r="F93" s="611" t="str">
        <f>RIGHT(B93,3)&amp;"W"</f>
        <v>026W</v>
      </c>
      <c r="G93" s="501" t="s">
        <v>4657</v>
      </c>
      <c r="H93" s="629">
        <f t="shared" ref="H93:I97" si="36">I93-1</f>
        <v>43619</v>
      </c>
      <c r="I93" s="635">
        <f t="shared" si="36"/>
        <v>43620</v>
      </c>
      <c r="J93" s="635">
        <v>43621</v>
      </c>
      <c r="K93" s="611">
        <f>J93+8</f>
        <v>43629</v>
      </c>
      <c r="L93" s="611">
        <f>J93+10</f>
        <v>43631</v>
      </c>
      <c r="M93" s="611">
        <f>J93+21</f>
        <v>43642</v>
      </c>
      <c r="N93" s="611">
        <f>J93+24</f>
        <v>43645</v>
      </c>
      <c r="O93" s="611">
        <f>J93+27</f>
        <v>43648</v>
      </c>
    </row>
    <row r="94" spans="1:19" s="290" customFormat="1" ht="19.899999999999999" customHeight="1">
      <c r="A94" s="577">
        <f>A68</f>
        <v>24</v>
      </c>
      <c r="B94" s="577" t="s">
        <v>140</v>
      </c>
      <c r="C94" s="1081" t="str">
        <f>VLOOKUP((LEFT(B94,3)),'ships name'!A:C,2,FALSE)</f>
        <v xml:space="preserve">void sailing </v>
      </c>
      <c r="D94" s="809">
        <f>VLOOKUP(C94,'ships name'!B:C,2,FALSE)</f>
        <v>0</v>
      </c>
      <c r="E94" s="580" t="e">
        <f t="shared" ref="E94" si="37">TEXT(LEFT(F94,3)-1,"000")&amp;"E"</f>
        <v>#VALUE!</v>
      </c>
      <c r="F94" s="580" t="str">
        <f>RIGHT(B94,3)&amp;"W"</f>
        <v>OIDW</v>
      </c>
      <c r="G94" s="487" t="s">
        <v>29</v>
      </c>
      <c r="H94" s="632">
        <f t="shared" si="36"/>
        <v>43626</v>
      </c>
      <c r="I94" s="633">
        <f t="shared" si="36"/>
        <v>43627</v>
      </c>
      <c r="J94" s="633">
        <f>J93+7</f>
        <v>43628</v>
      </c>
      <c r="K94" s="580">
        <f>J94+8</f>
        <v>43636</v>
      </c>
      <c r="L94" s="580">
        <f>J94+15</f>
        <v>43643</v>
      </c>
      <c r="M94" s="580">
        <f>J94+17</f>
        <v>43645</v>
      </c>
      <c r="N94" s="580">
        <f>J94+22</f>
        <v>43650</v>
      </c>
      <c r="O94" s="580">
        <f>J94+27</f>
        <v>43655</v>
      </c>
    </row>
    <row r="95" spans="1:19" s="290" customFormat="1" ht="19.899999999999999" customHeight="1">
      <c r="A95" s="624">
        <f>A69</f>
        <v>25</v>
      </c>
      <c r="B95" s="577" t="s">
        <v>4661</v>
      </c>
      <c r="C95" s="1081" t="str">
        <f>VLOOKUP((LEFT(B95,3)),'ships name'!A:C,2,FALSE)</f>
        <v>COSCO SHIPPING KILIMANJARO</v>
      </c>
      <c r="D95" s="809" t="str">
        <f>VLOOKUP(C95,'ships name'!B:C,2,FALSE)</f>
        <v xml:space="preserve"> </v>
      </c>
      <c r="E95" s="580" t="str">
        <f t="shared" ref="E95" si="38">TEXT(LEFT(F95,3)-1,"000")&amp;"E"</f>
        <v>008E</v>
      </c>
      <c r="F95" s="580" t="str">
        <f>RIGHT(B95,3)&amp;"W"</f>
        <v>009W</v>
      </c>
      <c r="G95" s="487" t="s">
        <v>4658</v>
      </c>
      <c r="H95" s="632">
        <f t="shared" si="36"/>
        <v>43633</v>
      </c>
      <c r="I95" s="633">
        <f t="shared" si="36"/>
        <v>43634</v>
      </c>
      <c r="J95" s="633">
        <f>J94+7</f>
        <v>43635</v>
      </c>
      <c r="K95" s="580">
        <f>J95+8</f>
        <v>43643</v>
      </c>
      <c r="L95" s="580">
        <f>J95+15</f>
        <v>43650</v>
      </c>
      <c r="M95" s="580">
        <f>J95+17</f>
        <v>43652</v>
      </c>
      <c r="N95" s="580">
        <f>J95+22</f>
        <v>43657</v>
      </c>
      <c r="O95" s="580">
        <f>J95+27</f>
        <v>43662</v>
      </c>
    </row>
    <row r="96" spans="1:19" s="290" customFormat="1" ht="19.899999999999999" customHeight="1">
      <c r="A96" s="634">
        <f>A70</f>
        <v>26</v>
      </c>
      <c r="B96" s="950" t="s">
        <v>4662</v>
      </c>
      <c r="C96" s="1081" t="str">
        <f>VLOOKUP((LEFT(B96,3)),'ships name'!A:C,2,FALSE)</f>
        <v>THALASSA PISTIS</v>
      </c>
      <c r="D96" s="809" t="str">
        <f>VLOOKUP(C96,'ships name'!B:C,2,FALSE)</f>
        <v xml:space="preserve"> </v>
      </c>
      <c r="E96" s="580" t="str">
        <f>F96</f>
        <v>0RE3LW</v>
      </c>
      <c r="F96" s="580" t="str">
        <f>LEFT(G96,6)</f>
        <v>0RE3LW</v>
      </c>
      <c r="G96" s="487" t="s">
        <v>4659</v>
      </c>
      <c r="H96" s="632">
        <f t="shared" si="36"/>
        <v>43640</v>
      </c>
      <c r="I96" s="633">
        <f t="shared" si="36"/>
        <v>43641</v>
      </c>
      <c r="J96" s="633">
        <f>J95+7</f>
        <v>43642</v>
      </c>
      <c r="K96" s="580">
        <f>J96+8</f>
        <v>43650</v>
      </c>
      <c r="L96" s="580">
        <f>J96+15</f>
        <v>43657</v>
      </c>
      <c r="M96" s="580">
        <f>J96+17</f>
        <v>43659</v>
      </c>
      <c r="N96" s="580">
        <f>J96+22</f>
        <v>43664</v>
      </c>
      <c r="O96" s="580">
        <f>J96+27</f>
        <v>43669</v>
      </c>
    </row>
    <row r="97" spans="1:19" s="290" customFormat="1" ht="19.899999999999999" customHeight="1">
      <c r="A97" s="634">
        <f>A71</f>
        <v>27</v>
      </c>
      <c r="B97" s="577" t="s">
        <v>140</v>
      </c>
      <c r="C97" s="1081" t="str">
        <f>VLOOKUP((LEFT(B97,3)),'ships name'!A:C,2,FALSE)</f>
        <v xml:space="preserve">void sailing </v>
      </c>
      <c r="D97" s="812">
        <f>VLOOKUP(C97,'ships name'!B:C,2,FALSE)</f>
        <v>0</v>
      </c>
      <c r="E97" s="580" t="e">
        <f t="shared" ref="E97" si="39">TEXT(LEFT(F97,3)-1,"000")&amp;"E"</f>
        <v>#VALUE!</v>
      </c>
      <c r="F97" s="580" t="str">
        <f>RIGHT(B97,3)&amp;"W"</f>
        <v>OIDW</v>
      </c>
      <c r="G97" s="487" t="s">
        <v>29</v>
      </c>
      <c r="H97" s="632">
        <f t="shared" si="36"/>
        <v>43647</v>
      </c>
      <c r="I97" s="633">
        <f t="shared" si="36"/>
        <v>43648</v>
      </c>
      <c r="J97" s="633">
        <f>J96+7</f>
        <v>43649</v>
      </c>
      <c r="K97" s="580">
        <f>J97+8</f>
        <v>43657</v>
      </c>
      <c r="L97" s="580">
        <f>J97+15</f>
        <v>43664</v>
      </c>
      <c r="M97" s="580">
        <f>J97+17</f>
        <v>43666</v>
      </c>
      <c r="N97" s="580">
        <f>J97+22</f>
        <v>43671</v>
      </c>
      <c r="O97" s="580">
        <f>J97+27</f>
        <v>43676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50" t="s">
        <v>137</v>
      </c>
      <c r="B99" s="1151"/>
      <c r="C99" s="1151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147" t="s">
        <v>2</v>
      </c>
      <c r="L99" s="1148"/>
      <c r="M99" s="1148"/>
      <c r="N99" s="1148"/>
      <c r="O99" s="1149"/>
      <c r="P99" s="102"/>
      <c r="Q99" s="102"/>
      <c r="R99" s="102"/>
      <c r="S99" s="102"/>
    </row>
    <row r="100" spans="1:19" s="290" customFormat="1" ht="19.899999999999999" customHeight="1">
      <c r="A100" s="1116" t="s">
        <v>3</v>
      </c>
      <c r="B100" s="1152" t="s">
        <v>4</v>
      </c>
      <c r="C100" s="1152" t="s">
        <v>5</v>
      </c>
      <c r="D100" s="1153" t="s">
        <v>4291</v>
      </c>
      <c r="E100" s="1154" t="s">
        <v>6</v>
      </c>
      <c r="F100" s="1155"/>
      <c r="G100" s="1156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16"/>
      <c r="B101" s="1119"/>
      <c r="C101" s="1119"/>
      <c r="D101" s="1097"/>
      <c r="E101" s="1097" t="s">
        <v>13</v>
      </c>
      <c r="F101" s="1099" t="s">
        <v>14</v>
      </c>
      <c r="G101" s="1100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7"/>
      <c r="B102" s="1120"/>
      <c r="C102" s="1120"/>
      <c r="D102" s="1098"/>
      <c r="E102" s="1098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22</v>
      </c>
      <c r="B103" s="610" t="s">
        <v>4550</v>
      </c>
      <c r="C103" s="493" t="str">
        <f>VLOOKUP((LEFT(B103,3)),'ships name'!A:C,2,FALSE)</f>
        <v>KOTA PUSAKA</v>
      </c>
      <c r="D103" s="809" t="str">
        <f>VLOOKUP(C103,'ships name'!B:C,2,FALSE)</f>
        <v xml:space="preserve"> </v>
      </c>
      <c r="E103" s="611" t="str">
        <f>TEXT(LEFT(F103,3)-1,"000")&amp;"E"</f>
        <v>001E</v>
      </c>
      <c r="F103" s="639" t="str">
        <f>RIGHT(B103,3)&amp;"W"</f>
        <v>002W</v>
      </c>
      <c r="G103" s="516" t="s">
        <v>4551</v>
      </c>
      <c r="H103" s="629">
        <f t="shared" ref="H103:I107" si="40">I103-1</f>
        <v>43615</v>
      </c>
      <c r="I103" s="635">
        <f t="shared" si="40"/>
        <v>43616</v>
      </c>
      <c r="J103" s="635">
        <v>43617</v>
      </c>
      <c r="K103" s="611">
        <f>J103+10</f>
        <v>43627</v>
      </c>
      <c r="L103" s="611">
        <f>J103+20</f>
        <v>43637</v>
      </c>
      <c r="M103" s="611">
        <f>J103+23</f>
        <v>43640</v>
      </c>
      <c r="N103" s="611">
        <f>J103+30</f>
        <v>43647</v>
      </c>
      <c r="O103" s="611">
        <f>J103+27</f>
        <v>43644</v>
      </c>
    </row>
    <row r="104" spans="1:19" s="290" customFormat="1" ht="19.899999999999999" customHeight="1">
      <c r="A104" s="617">
        <f>A103+1</f>
        <v>23</v>
      </c>
      <c r="B104" s="577" t="s">
        <v>140</v>
      </c>
      <c r="C104" s="950" t="str">
        <f>VLOOKUP((LEFT(B104,3)),'ships name'!A:C,2,FALSE)</f>
        <v xml:space="preserve">void sailing </v>
      </c>
      <c r="D104" s="809">
        <f>VLOOKUP(C104,'ships name'!B:C,2,FALSE)</f>
        <v>0</v>
      </c>
      <c r="E104" s="580" t="e">
        <f>TEXT(LEFT(F104,3)-1,"000")&amp;"E"</f>
        <v>#VALUE!</v>
      </c>
      <c r="F104" s="640" t="str">
        <f>RIGHT(B104,3)&amp;"W"</f>
        <v>OIDW</v>
      </c>
      <c r="G104" s="641" t="s">
        <v>4665</v>
      </c>
      <c r="H104" s="632">
        <f t="shared" si="40"/>
        <v>43622</v>
      </c>
      <c r="I104" s="633">
        <f t="shared" si="40"/>
        <v>43623</v>
      </c>
      <c r="J104" s="633">
        <f>J103+7</f>
        <v>43624</v>
      </c>
      <c r="K104" s="580">
        <f t="shared" ref="K104" si="41">J104+10</f>
        <v>43634</v>
      </c>
      <c r="L104" s="580">
        <f t="shared" ref="L104" si="42">J104+20</f>
        <v>43644</v>
      </c>
      <c r="M104" s="580">
        <f t="shared" ref="M104" si="43">J104+23</f>
        <v>43647</v>
      </c>
      <c r="N104" s="580">
        <f t="shared" ref="N104" si="44">J104+30</f>
        <v>43654</v>
      </c>
      <c r="O104" s="580">
        <f>J104+27</f>
        <v>43651</v>
      </c>
    </row>
    <row r="105" spans="1:19" s="290" customFormat="1" ht="19.899999999999999" customHeight="1">
      <c r="A105" s="617">
        <f>A104+1</f>
        <v>24</v>
      </c>
      <c r="B105" s="577" t="s">
        <v>4663</v>
      </c>
      <c r="C105" s="499" t="str">
        <f>VLOOKUP((LEFT(B105,3)),'ships name'!A:C,2,FALSE)</f>
        <v>CMA CGM CALLISTO</v>
      </c>
      <c r="D105" s="809" t="str">
        <f>VLOOKUP(C105,'ships name'!B:C,2,FALSE)</f>
        <v xml:space="preserve"> </v>
      </c>
      <c r="E105" s="580" t="e">
        <f>TEXT(LEFT(F105,3)-1,"000")&amp;"E"</f>
        <v>#VALUE!</v>
      </c>
      <c r="F105" s="580" t="str">
        <f>LEFT(G105,6)</f>
        <v>0RD3NW</v>
      </c>
      <c r="G105" s="641" t="s">
        <v>4666</v>
      </c>
      <c r="H105" s="632">
        <f t="shared" si="40"/>
        <v>43629</v>
      </c>
      <c r="I105" s="633">
        <f t="shared" si="40"/>
        <v>43630</v>
      </c>
      <c r="J105" s="633">
        <f>J104+7</f>
        <v>43631</v>
      </c>
      <c r="K105" s="580">
        <f t="shared" ref="K105" si="45">J105+10</f>
        <v>43641</v>
      </c>
      <c r="L105" s="580">
        <f t="shared" ref="L105" si="46">J105+20</f>
        <v>43651</v>
      </c>
      <c r="M105" s="580">
        <f t="shared" ref="M105" si="47">J105+23</f>
        <v>43654</v>
      </c>
      <c r="N105" s="580">
        <f t="shared" ref="N105" si="48">J105+30</f>
        <v>43661</v>
      </c>
      <c r="O105" s="580">
        <f>J105+27</f>
        <v>43658</v>
      </c>
    </row>
    <row r="106" spans="1:19" s="290" customFormat="1" ht="19.899999999999999" customHeight="1">
      <c r="A106" s="617">
        <f>A105+1</f>
        <v>25</v>
      </c>
      <c r="B106" s="634" t="s">
        <v>140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4667</v>
      </c>
      <c r="H106" s="632">
        <f t="shared" si="40"/>
        <v>43636</v>
      </c>
      <c r="I106" s="633">
        <f t="shared" si="40"/>
        <v>43637</v>
      </c>
      <c r="J106" s="633">
        <f>J105+7</f>
        <v>43638</v>
      </c>
      <c r="K106" s="580">
        <f t="shared" ref="K106" si="49">J106+10</f>
        <v>43648</v>
      </c>
      <c r="L106" s="580">
        <f t="shared" ref="L106" si="50">J106+20</f>
        <v>43658</v>
      </c>
      <c r="M106" s="580">
        <f t="shared" ref="M106" si="51">J106+23</f>
        <v>43661</v>
      </c>
      <c r="N106" s="580">
        <f t="shared" ref="N106" si="52">J106+30</f>
        <v>43668</v>
      </c>
      <c r="O106" s="580">
        <f>J106+27</f>
        <v>43665</v>
      </c>
    </row>
    <row r="107" spans="1:19" s="290" customFormat="1" ht="19.899999999999999" customHeight="1">
      <c r="A107" s="617">
        <f>A106+1</f>
        <v>26</v>
      </c>
      <c r="B107" s="577" t="s">
        <v>4664</v>
      </c>
      <c r="C107" s="499" t="str">
        <f>VLOOKUP((LEFT(B107,3)),'ships name'!A:C,2,FALSE)</f>
        <v>COSCO KAOHSIUNG</v>
      </c>
      <c r="D107" s="812" t="str">
        <f>VLOOKUP(C107,'ships name'!B:C,2,FALSE)</f>
        <v>东方远雄</v>
      </c>
      <c r="E107" s="580" t="str">
        <f>TEXT(LEFT(F107,3)-1,"000")&amp;"E"</f>
        <v>066E</v>
      </c>
      <c r="F107" s="640" t="str">
        <f>RIGHT(B107,3)&amp;"W"</f>
        <v>067W</v>
      </c>
      <c r="G107" s="641" t="s">
        <v>4668</v>
      </c>
      <c r="H107" s="632">
        <f t="shared" si="40"/>
        <v>43643</v>
      </c>
      <c r="I107" s="633">
        <f t="shared" si="40"/>
        <v>43644</v>
      </c>
      <c r="J107" s="633">
        <f>J106+7</f>
        <v>43645</v>
      </c>
      <c r="K107" s="580">
        <f t="shared" ref="K107" si="53">J107+10</f>
        <v>43655</v>
      </c>
      <c r="L107" s="580">
        <f t="shared" ref="L107" si="54">J107+20</f>
        <v>43665</v>
      </c>
      <c r="M107" s="580">
        <f t="shared" ref="M107" si="55">J107+23</f>
        <v>43668</v>
      </c>
      <c r="N107" s="580">
        <f t="shared" ref="N107" si="56">J107+30</f>
        <v>43675</v>
      </c>
      <c r="O107" s="580">
        <f>J107+27</f>
        <v>43672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50" t="s">
        <v>501</v>
      </c>
      <c r="B109" s="1151"/>
      <c r="C109" s="1151"/>
      <c r="D109" s="672"/>
      <c r="E109" s="673" t="s">
        <v>74</v>
      </c>
      <c r="F109" s="673" t="s">
        <v>3080</v>
      </c>
      <c r="G109" s="673"/>
      <c r="H109" s="1151" t="s">
        <v>3643</v>
      </c>
      <c r="I109" s="1151"/>
      <c r="J109" s="1202"/>
      <c r="K109" s="1199" t="s">
        <v>2</v>
      </c>
      <c r="L109" s="1200"/>
      <c r="M109" s="1200"/>
      <c r="N109" s="1200"/>
      <c r="O109" s="1201"/>
      <c r="P109" s="380"/>
      <c r="Q109" s="380"/>
      <c r="R109" s="380"/>
      <c r="S109" s="380"/>
    </row>
    <row r="110" spans="1:19" s="290" customFormat="1" ht="19.899999999999999" customHeight="1">
      <c r="A110" s="1116" t="s">
        <v>3</v>
      </c>
      <c r="B110" s="1152" t="s">
        <v>4</v>
      </c>
      <c r="C110" s="1152" t="s">
        <v>5</v>
      </c>
      <c r="D110" s="1153" t="s">
        <v>4291</v>
      </c>
      <c r="E110" s="1154" t="s">
        <v>6</v>
      </c>
      <c r="F110" s="1155"/>
      <c r="G110" s="1156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16"/>
      <c r="B111" s="1119"/>
      <c r="C111" s="1119"/>
      <c r="D111" s="1097"/>
      <c r="E111" s="1097" t="s">
        <v>13</v>
      </c>
      <c r="F111" s="1099" t="s">
        <v>14</v>
      </c>
      <c r="G111" s="1100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7"/>
      <c r="B112" s="1120"/>
      <c r="C112" s="1120"/>
      <c r="D112" s="1098"/>
      <c r="E112" s="1098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23</v>
      </c>
      <c r="B113" s="610" t="s">
        <v>4578</v>
      </c>
      <c r="C113" s="493" t="str">
        <f>VLOOKUP((LEFT(B113,3)),'ships name'!A:C,2,FALSE)</f>
        <v>MAERSK SARAT</v>
      </c>
      <c r="D113" s="809">
        <f>VLOOKUP(C113,'ships name'!B:C,2,FALSE)</f>
        <v>0</v>
      </c>
      <c r="E113" s="611" t="str">
        <f>TEXT(LEFT(F113,3)-1,"000")&amp;"E"</f>
        <v>516E</v>
      </c>
      <c r="F113" s="611" t="str">
        <f>RIGHT(B113,3)&amp;"W"</f>
        <v>517W</v>
      </c>
      <c r="G113" s="501" t="s">
        <v>4552</v>
      </c>
      <c r="H113" s="583"/>
      <c r="I113" s="611">
        <f>J113</f>
        <v>43620</v>
      </c>
      <c r="J113" s="583">
        <v>43620</v>
      </c>
      <c r="K113" s="611">
        <f>J113+8</f>
        <v>43628</v>
      </c>
      <c r="L113" s="611">
        <f>J113+9</f>
        <v>43629</v>
      </c>
      <c r="M113" s="611">
        <f>J113+14</f>
        <v>43634</v>
      </c>
      <c r="N113" s="611">
        <f>J113+18</f>
        <v>43638</v>
      </c>
      <c r="O113" s="611">
        <f>J113+20</f>
        <v>43640</v>
      </c>
    </row>
    <row r="114" spans="1:21" s="290" customFormat="1" ht="19.899999999999999" customHeight="1">
      <c r="A114" s="617">
        <f>A113+1</f>
        <v>24</v>
      </c>
      <c r="B114" s="577" t="s">
        <v>140</v>
      </c>
      <c r="C114" s="499" t="str">
        <f>VLOOKUP((LEFT(B114,3)),'ships name'!A:C,2,FALSE)</f>
        <v xml:space="preserve">void sailing </v>
      </c>
      <c r="D114" s="809">
        <f>VLOOKUP(C114,'ships name'!B:C,2,FALSE)</f>
        <v>0</v>
      </c>
      <c r="E114" s="580" t="e">
        <f>TEXT(LEFT(F114,3)-1,"000")&amp;"E"</f>
        <v>#VALUE!</v>
      </c>
      <c r="F114" s="580" t="str">
        <f>RIGHT(B114,3)&amp;"W"</f>
        <v>OIDW</v>
      </c>
      <c r="G114" s="487" t="s">
        <v>29</v>
      </c>
      <c r="H114" s="633"/>
      <c r="I114" s="580">
        <f t="shared" ref="I114" si="57">J114</f>
        <v>43627</v>
      </c>
      <c r="J114" s="633">
        <f>J113+7</f>
        <v>43627</v>
      </c>
      <c r="K114" s="580">
        <f t="shared" ref="K114" si="58">J114+8</f>
        <v>43635</v>
      </c>
      <c r="L114" s="580">
        <f t="shared" ref="L114" si="59">J114+9</f>
        <v>43636</v>
      </c>
      <c r="M114" s="580">
        <f t="shared" ref="M114" si="60">J114+14</f>
        <v>43641</v>
      </c>
      <c r="N114" s="580">
        <f t="shared" ref="N114" si="61">J114+18</f>
        <v>43645</v>
      </c>
      <c r="O114" s="580">
        <f t="shared" ref="O114" si="62">J114+20</f>
        <v>43647</v>
      </c>
    </row>
    <row r="115" spans="1:21" s="290" customFormat="1" ht="19.899999999999999" customHeight="1">
      <c r="A115" s="617">
        <f>A114+1</f>
        <v>25</v>
      </c>
      <c r="B115" s="577" t="s">
        <v>4669</v>
      </c>
      <c r="C115" s="499" t="str">
        <f>VLOOKUP((LEFT(B115,3)),'ships name'!A:C,2,FALSE)</f>
        <v>MAERSK SHIVLING</v>
      </c>
      <c r="D115" s="809" t="str">
        <f>VLOOKUP(C115,'ships name'!B:C,2,FALSE)</f>
        <v xml:space="preserve"> </v>
      </c>
      <c r="E115" s="580" t="str">
        <f>TEXT(LEFT(F115,3)-1,"000")&amp;"E"</f>
        <v>917E</v>
      </c>
      <c r="F115" s="580" t="str">
        <f>RIGHT(B115,3)&amp;"W"</f>
        <v>918W</v>
      </c>
      <c r="G115" s="487" t="s">
        <v>4672</v>
      </c>
      <c r="H115" s="633"/>
      <c r="I115" s="580">
        <f t="shared" ref="I115" si="63">J115</f>
        <v>43634</v>
      </c>
      <c r="J115" s="633">
        <f>J114+7</f>
        <v>43634</v>
      </c>
      <c r="K115" s="580">
        <f t="shared" ref="K115" si="64">J115+8</f>
        <v>43642</v>
      </c>
      <c r="L115" s="580">
        <f t="shared" ref="L115" si="65">J115+9</f>
        <v>43643</v>
      </c>
      <c r="M115" s="580">
        <f t="shared" ref="M115" si="66">J115+14</f>
        <v>43648</v>
      </c>
      <c r="N115" s="580">
        <f t="shared" ref="N115" si="67">J115+18</f>
        <v>43652</v>
      </c>
      <c r="O115" s="580">
        <f t="shared" ref="O115" si="68">J115+20</f>
        <v>43654</v>
      </c>
    </row>
    <row r="116" spans="1:21" s="290" customFormat="1" ht="19.899999999999999" customHeight="1">
      <c r="A116" s="617">
        <f>A115+1</f>
        <v>26</v>
      </c>
      <c r="B116" s="634" t="s">
        <v>4670</v>
      </c>
      <c r="C116" s="499" t="str">
        <f>VLOOKUP((LEFT(B116,3)),'ships name'!A:C,2,FALSE)</f>
        <v>MAERSK TANJONG</v>
      </c>
      <c r="D116" s="809" t="str">
        <f>VLOOKUP(C116,'ships name'!B:C,2,FALSE)</f>
        <v>马士基丹戎巴葛</v>
      </c>
      <c r="E116" s="580" t="str">
        <f>TEXT(LEFT(F116,3)-1,"000")&amp;"E"</f>
        <v>821E</v>
      </c>
      <c r="F116" s="580" t="str">
        <f>RIGHT(B116,3)&amp;"W"</f>
        <v>822W</v>
      </c>
      <c r="G116" s="487" t="s">
        <v>4673</v>
      </c>
      <c r="H116" s="633"/>
      <c r="I116" s="580">
        <f t="shared" ref="I116" si="69">J116</f>
        <v>43641</v>
      </c>
      <c r="J116" s="633">
        <f>J115+7</f>
        <v>43641</v>
      </c>
      <c r="K116" s="580">
        <f t="shared" ref="K116" si="70">J116+8</f>
        <v>43649</v>
      </c>
      <c r="L116" s="580">
        <f t="shared" ref="L116" si="71">J116+9</f>
        <v>43650</v>
      </c>
      <c r="M116" s="580">
        <f t="shared" ref="M116" si="72">J116+14</f>
        <v>43655</v>
      </c>
      <c r="N116" s="580">
        <f t="shared" ref="N116" si="73">J116+18</f>
        <v>43659</v>
      </c>
      <c r="O116" s="580">
        <f t="shared" ref="O116" si="74">J116+20</f>
        <v>43661</v>
      </c>
    </row>
    <row r="117" spans="1:21" s="290" customFormat="1" ht="19.899999999999999" customHeight="1">
      <c r="A117" s="617">
        <f>A116+1</f>
        <v>27</v>
      </c>
      <c r="B117" s="577" t="s">
        <v>4671</v>
      </c>
      <c r="C117" s="499" t="str">
        <f>VLOOKUP((LEFT(B117,3)),'ships name'!A:C,2,FALSE)</f>
        <v>MAERSK SALALAH</v>
      </c>
      <c r="D117" s="812" t="str">
        <f>VLOOKUP(C117,'ships name'!B:C,2,FALSE)</f>
        <v>马士基萨拉拉</v>
      </c>
      <c r="E117" s="580" t="str">
        <f>TEXT(LEFT(F117,3)-1,"000")&amp;"E"</f>
        <v>817E</v>
      </c>
      <c r="F117" s="580" t="str">
        <f>RIGHT(B117,3)&amp;"W"</f>
        <v>818W</v>
      </c>
      <c r="G117" s="487" t="s">
        <v>4674</v>
      </c>
      <c r="H117" s="633"/>
      <c r="I117" s="580">
        <f t="shared" ref="I117" si="75">J117</f>
        <v>43648</v>
      </c>
      <c r="J117" s="633">
        <f>J116+7</f>
        <v>43648</v>
      </c>
      <c r="K117" s="580">
        <f t="shared" ref="K117" si="76">J117+8</f>
        <v>43656</v>
      </c>
      <c r="L117" s="580">
        <f t="shared" ref="L117" si="77">J117+9</f>
        <v>43657</v>
      </c>
      <c r="M117" s="580">
        <f t="shared" ref="M117" si="78">J117+14</f>
        <v>43662</v>
      </c>
      <c r="N117" s="580">
        <f t="shared" ref="N117" si="79">J117+18</f>
        <v>43666</v>
      </c>
      <c r="O117" s="580">
        <f t="shared" ref="O117" si="80">J117+20</f>
        <v>43668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165" t="s">
        <v>2</v>
      </c>
      <c r="L120" s="1166"/>
      <c r="M120" s="1166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16" t="s">
        <v>3</v>
      </c>
      <c r="B121" s="1152" t="s">
        <v>4</v>
      </c>
      <c r="C121" s="1152" t="s">
        <v>5</v>
      </c>
      <c r="D121" s="1153" t="s">
        <v>4291</v>
      </c>
      <c r="E121" s="1154" t="s">
        <v>6</v>
      </c>
      <c r="F121" s="1155"/>
      <c r="G121" s="1156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16"/>
      <c r="B122" s="1119"/>
      <c r="C122" s="1119"/>
      <c r="D122" s="1097"/>
      <c r="E122" s="1097" t="s">
        <v>13</v>
      </c>
      <c r="F122" s="1099" t="s">
        <v>14</v>
      </c>
      <c r="G122" s="1100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7"/>
      <c r="B123" s="1120"/>
      <c r="C123" s="1120"/>
      <c r="D123" s="1098"/>
      <c r="E123" s="1098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23</v>
      </c>
      <c r="B124" s="610" t="s">
        <v>4553</v>
      </c>
      <c r="C124" s="493" t="str">
        <f>VLOOKUP((LEFT(B124,3)),'ships name'!A:C,2,FALSE)</f>
        <v>COSCO JAPAN</v>
      </c>
      <c r="D124" s="809" t="str">
        <f>VLOOKUP(C124,'ships name'!B:C,2,FALSE)</f>
        <v>中远日本</v>
      </c>
      <c r="E124" s="611" t="str">
        <f>F124</f>
        <v>0VK2LW</v>
      </c>
      <c r="F124" s="580" t="str">
        <f t="shared" ref="F124:F126" si="81">LEFT(G124,6)</f>
        <v>0VK2LW</v>
      </c>
      <c r="G124" s="501" t="s">
        <v>4554</v>
      </c>
      <c r="H124" s="583">
        <f>I124-1</f>
        <v>43616</v>
      </c>
      <c r="I124" s="583">
        <f>J124-1</f>
        <v>43617</v>
      </c>
      <c r="J124" s="583">
        <v>43618</v>
      </c>
      <c r="K124" s="583">
        <f>J124+7</f>
        <v>43625</v>
      </c>
      <c r="L124" s="583">
        <f>J124+8</f>
        <v>43626</v>
      </c>
      <c r="M124" s="583">
        <f>J124+18</f>
        <v>43636</v>
      </c>
      <c r="N124" s="583">
        <f t="shared" ref="N124:N126" si="82">J124+15</f>
        <v>43633</v>
      </c>
      <c r="O124" s="583">
        <f>J124+20</f>
        <v>43638</v>
      </c>
    </row>
    <row r="125" spans="1:21" s="290" customFormat="1" ht="19.899999999999999" customHeight="1">
      <c r="A125" s="648">
        <f>A124+1</f>
        <v>24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4678</v>
      </c>
      <c r="H125" s="633">
        <f t="shared" ref="H125" si="84">I125-1</f>
        <v>43623</v>
      </c>
      <c r="I125" s="633">
        <f>J125-1</f>
        <v>43624</v>
      </c>
      <c r="J125" s="633">
        <f>J124+7</f>
        <v>43625</v>
      </c>
      <c r="K125" s="633">
        <f>J125+7</f>
        <v>43632</v>
      </c>
      <c r="L125" s="633">
        <f t="shared" ref="L125" si="85">J125+8</f>
        <v>43633</v>
      </c>
      <c r="M125" s="633">
        <f>J125+18</f>
        <v>43643</v>
      </c>
      <c r="N125" s="633">
        <f t="shared" si="82"/>
        <v>43640</v>
      </c>
      <c r="O125" s="633">
        <f>J125+20</f>
        <v>43645</v>
      </c>
    </row>
    <row r="126" spans="1:21" s="290" customFormat="1" ht="19.899999999999999" customHeight="1">
      <c r="A126" s="648">
        <f>A125+1</f>
        <v>25</v>
      </c>
      <c r="B126" s="646" t="s">
        <v>4675</v>
      </c>
      <c r="C126" s="499" t="str">
        <f>VLOOKUP((LEFT(B126,3)),'ships name'!A:C,2,FALSE)</f>
        <v>CMA CGM BUTTERFLY</v>
      </c>
      <c r="D126" s="809" t="str">
        <f>VLOOKUP(C126,'ships name'!B:C,2,FALSE)</f>
        <v>达飞蝴蝶</v>
      </c>
      <c r="E126" s="611" t="str">
        <f t="shared" si="83"/>
        <v>0VK2PW</v>
      </c>
      <c r="F126" s="580" t="str">
        <f t="shared" si="81"/>
        <v>0VK2PW</v>
      </c>
      <c r="G126" s="487" t="s">
        <v>4679</v>
      </c>
      <c r="H126" s="633">
        <f t="shared" ref="H126" si="86">I126-1</f>
        <v>43630</v>
      </c>
      <c r="I126" s="633">
        <f>J126-1</f>
        <v>43631</v>
      </c>
      <c r="J126" s="633">
        <f>J125+7</f>
        <v>43632</v>
      </c>
      <c r="K126" s="633">
        <f>J126+7</f>
        <v>43639</v>
      </c>
      <c r="L126" s="633">
        <f t="shared" ref="L126" si="87">J126+8</f>
        <v>43640</v>
      </c>
      <c r="M126" s="633">
        <f t="shared" ref="M126" si="88">J126+18</f>
        <v>43650</v>
      </c>
      <c r="N126" s="633">
        <f t="shared" si="82"/>
        <v>43647</v>
      </c>
      <c r="O126" s="633">
        <f t="shared" ref="O126" si="89">J126+20</f>
        <v>43652</v>
      </c>
    </row>
    <row r="127" spans="1:21" s="290" customFormat="1" ht="19.899999999999999" customHeight="1">
      <c r="A127" s="648">
        <f>A126+1</f>
        <v>26</v>
      </c>
      <c r="B127" s="646" t="s">
        <v>4676</v>
      </c>
      <c r="C127" s="499" t="str">
        <f>VLOOKUP((LEFT(B127,3)),'ships name'!A:C,2,FALSE)</f>
        <v>CMA CGM MEDEA</v>
      </c>
      <c r="D127" s="809" t="str">
        <f>VLOOKUP(C127,'ships name'!B:C,2,FALSE)</f>
        <v>达飞美狄亚</v>
      </c>
      <c r="E127" s="611" t="str">
        <f t="shared" si="83"/>
        <v>025W</v>
      </c>
      <c r="F127" s="580" t="str">
        <f>RIGHT(B127,3)&amp;"W"</f>
        <v>025W</v>
      </c>
      <c r="G127" s="487" t="s">
        <v>4680</v>
      </c>
      <c r="H127" s="633">
        <f t="shared" ref="H127" si="90">I127-1</f>
        <v>43637</v>
      </c>
      <c r="I127" s="633">
        <f>J127-1</f>
        <v>43638</v>
      </c>
      <c r="J127" s="633">
        <f>J126+7</f>
        <v>43639</v>
      </c>
      <c r="K127" s="633">
        <f>J127+7</f>
        <v>43646</v>
      </c>
      <c r="L127" s="633">
        <f t="shared" ref="L127" si="91">J127+8</f>
        <v>43647</v>
      </c>
      <c r="M127" s="633">
        <f t="shared" ref="M127" si="92">J127+18</f>
        <v>43657</v>
      </c>
      <c r="N127" s="633">
        <f t="shared" ref="N127" si="93">J127+15</f>
        <v>43654</v>
      </c>
      <c r="O127" s="633">
        <f t="shared" ref="O127" si="94">J127+20</f>
        <v>43659</v>
      </c>
    </row>
    <row r="128" spans="1:21" s="290" customFormat="1" ht="19.899999999999999" customHeight="1" thickBot="1">
      <c r="A128" s="692">
        <f>A127+1</f>
        <v>27</v>
      </c>
      <c r="B128" s="593" t="s">
        <v>4677</v>
      </c>
      <c r="C128" s="486" t="str">
        <f>VLOOKUP((LEFT(B128,3)),'ships name'!A:C,2,FALSE)</f>
        <v>CMA CGM RIGOLETTO</v>
      </c>
      <c r="D128" s="815" t="str">
        <f>VLOOKUP(C128,'ships name'!B:C,2,FALSE)</f>
        <v>美总达飞弄臣</v>
      </c>
      <c r="E128" s="611" t="str">
        <f t="shared" si="83"/>
        <v>358W</v>
      </c>
      <c r="F128" s="580" t="str">
        <f>RIGHT(B128,3)&amp;"W"</f>
        <v>358W</v>
      </c>
      <c r="G128" s="503" t="s">
        <v>4681</v>
      </c>
      <c r="H128" s="630">
        <f t="shared" ref="H128" si="95">I128-1</f>
        <v>43644</v>
      </c>
      <c r="I128" s="630">
        <f>J128-1</f>
        <v>43645</v>
      </c>
      <c r="J128" s="630">
        <f>J127+7</f>
        <v>43646</v>
      </c>
      <c r="K128" s="630">
        <f>J128+7</f>
        <v>43653</v>
      </c>
      <c r="L128" s="630">
        <f t="shared" ref="L128" si="96">J128+8</f>
        <v>43654</v>
      </c>
      <c r="M128" s="630">
        <f t="shared" ref="M128" si="97">J128+18</f>
        <v>43664</v>
      </c>
      <c r="N128" s="633">
        <f t="shared" ref="N128" si="98">J128+15</f>
        <v>43661</v>
      </c>
      <c r="O128" s="633">
        <f t="shared" ref="O128" si="99">J128+20</f>
        <v>43666</v>
      </c>
    </row>
    <row r="129" spans="1:19" s="103" customFormat="1" ht="25.9" customHeight="1" thickBot="1">
      <c r="A129" s="1150" t="s">
        <v>4301</v>
      </c>
      <c r="B129" s="1151"/>
      <c r="C129" s="1151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147" t="s">
        <v>2</v>
      </c>
      <c r="L129" s="1148"/>
      <c r="M129" s="1148"/>
      <c r="N129" s="1149"/>
      <c r="O129" s="568"/>
      <c r="P129" s="568"/>
      <c r="Q129" s="568"/>
      <c r="R129" s="568"/>
      <c r="S129" s="568"/>
    </row>
    <row r="130" spans="1:19" s="290" customFormat="1" ht="19.899999999999999" customHeight="1">
      <c r="A130" s="1116" t="s">
        <v>3</v>
      </c>
      <c r="B130" s="1152" t="s">
        <v>4</v>
      </c>
      <c r="C130" s="1152" t="s">
        <v>5</v>
      </c>
      <c r="D130" s="1153" t="s">
        <v>4291</v>
      </c>
      <c r="E130" s="1154" t="s">
        <v>6</v>
      </c>
      <c r="F130" s="1155"/>
      <c r="G130" s="1156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16"/>
      <c r="B131" s="1119"/>
      <c r="C131" s="1119"/>
      <c r="D131" s="1097"/>
      <c r="E131" s="1097" t="s">
        <v>13</v>
      </c>
      <c r="F131" s="1099" t="s">
        <v>14</v>
      </c>
      <c r="G131" s="1100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17"/>
      <c r="B132" s="1120"/>
      <c r="C132" s="1120"/>
      <c r="D132" s="1098"/>
      <c r="E132" s="1098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23</v>
      </c>
      <c r="B133" s="610" t="s">
        <v>4682</v>
      </c>
      <c r="C133" s="565" t="str">
        <f>VLOOKUP((LEFT(B133,3)),'ships name'!A:C,2,FALSE)</f>
        <v>SEAMAX BRIDGEPORT</v>
      </c>
      <c r="D133" s="809" t="str">
        <f>VLOOKUP(C133,'ships name'!B:C,2,FALSE)</f>
        <v xml:space="preserve"> </v>
      </c>
      <c r="E133" s="610" t="str">
        <f>TEXT(LEFT(F133,3)-1,"000")&amp;"E"</f>
        <v>111E</v>
      </c>
      <c r="F133" s="610" t="str">
        <f>RIGHT(B133,3)&amp;"W"</f>
        <v>112W</v>
      </c>
      <c r="G133" s="565" t="s">
        <v>4686</v>
      </c>
      <c r="H133" s="583">
        <f>I133-1</f>
        <v>43621</v>
      </c>
      <c r="I133" s="583">
        <f>J133-1</f>
        <v>43622</v>
      </c>
      <c r="J133" s="583">
        <v>43623</v>
      </c>
      <c r="K133" s="790">
        <f>J133+8</f>
        <v>43631</v>
      </c>
      <c r="L133" s="790">
        <f>J133+10</f>
        <v>43633</v>
      </c>
      <c r="M133" s="790">
        <f>J133+16</f>
        <v>43639</v>
      </c>
      <c r="N133" s="794">
        <f>J133+20</f>
        <v>43643</v>
      </c>
    </row>
    <row r="134" spans="1:19" s="290" customFormat="1" ht="19.899999999999999" customHeight="1">
      <c r="A134" s="649">
        <f>A133+1</f>
        <v>24</v>
      </c>
      <c r="B134" s="577" t="s">
        <v>4683</v>
      </c>
      <c r="C134" s="563" t="str">
        <f>VLOOKUP((LEFT(B134,3)),'ships name'!A:C,2,FALSE)</f>
        <v xml:space="preserve">XIN MEI ZHOU </v>
      </c>
      <c r="D134" s="809" t="str">
        <f>VLOOKUP(C134,'ships name'!B:C,2,FALSE)</f>
        <v>新美洲</v>
      </c>
      <c r="E134" s="610" t="str">
        <f>TEXT(LEFT(F134,3)-1,"000")&amp;"E"</f>
        <v>128E</v>
      </c>
      <c r="F134" s="610" t="str">
        <f>RIGHT(B134,3)&amp;"W"</f>
        <v>129W</v>
      </c>
      <c r="G134" s="563" t="s">
        <v>4687</v>
      </c>
      <c r="H134" s="583">
        <f t="shared" ref="H134:H137" si="100">I134-1</f>
        <v>43628</v>
      </c>
      <c r="I134" s="583">
        <f t="shared" ref="I134:I137" si="101">J134-1</f>
        <v>43629</v>
      </c>
      <c r="J134" s="633">
        <f>J133+7</f>
        <v>43630</v>
      </c>
      <c r="K134" s="633">
        <f t="shared" ref="K134:K137" si="102">J134+8</f>
        <v>43638</v>
      </c>
      <c r="L134" s="633">
        <f t="shared" ref="L134:L137" si="103">J134+10</f>
        <v>43640</v>
      </c>
      <c r="M134" s="633">
        <f t="shared" ref="M134:M137" si="104">J134+16</f>
        <v>43646</v>
      </c>
      <c r="N134" s="795">
        <f t="shared" ref="N134:N137" si="105">J134+20</f>
        <v>43650</v>
      </c>
    </row>
    <row r="135" spans="1:19" s="290" customFormat="1" ht="19.899999999999999" customHeight="1">
      <c r="A135" s="649">
        <f>A134+1</f>
        <v>25</v>
      </c>
      <c r="B135" s="646" t="s">
        <v>4684</v>
      </c>
      <c r="C135" s="563" t="str">
        <f>VLOOKUP((LEFT(B135,3)),'ships name'!A:C,2,FALSE)</f>
        <v>COSCO INDONESIA</v>
      </c>
      <c r="D135" s="809" t="str">
        <f>VLOOKUP(C135,'ships name'!B:C,2,FALSE)</f>
        <v>中远印度尼西亚</v>
      </c>
      <c r="E135" s="577" t="str">
        <f>F135</f>
        <v>086W</v>
      </c>
      <c r="F135" s="610" t="str">
        <f>RIGHT(B135,3)&amp;"W"</f>
        <v>086W</v>
      </c>
      <c r="G135" s="563" t="s">
        <v>4688</v>
      </c>
      <c r="H135" s="583">
        <f t="shared" si="100"/>
        <v>43635</v>
      </c>
      <c r="I135" s="583">
        <f t="shared" si="101"/>
        <v>43636</v>
      </c>
      <c r="J135" s="633">
        <f>J134+7</f>
        <v>43637</v>
      </c>
      <c r="K135" s="633">
        <f t="shared" si="102"/>
        <v>43645</v>
      </c>
      <c r="L135" s="633">
        <f t="shared" si="103"/>
        <v>43647</v>
      </c>
      <c r="M135" s="633">
        <f t="shared" si="104"/>
        <v>43653</v>
      </c>
      <c r="N135" s="795">
        <f t="shared" si="105"/>
        <v>43657</v>
      </c>
    </row>
    <row r="136" spans="1:19" s="290" customFormat="1" ht="19.899999999999999" customHeight="1">
      <c r="A136" s="649">
        <f t="shared" ref="A136:A137" si="106">A135+1</f>
        <v>26</v>
      </c>
      <c r="B136" s="646" t="s">
        <v>3766</v>
      </c>
      <c r="C136" s="563" t="str">
        <f>VLOOKUP((LEFT(B136,3)),'ships name'!A:C,2,FALSE)</f>
        <v xml:space="preserve">void sailing </v>
      </c>
      <c r="D136" s="809">
        <f>VLOOKUP(C136,'ships name'!B:C,2,FALSE)</f>
        <v>0</v>
      </c>
      <c r="E136" s="577" t="s">
        <v>4372</v>
      </c>
      <c r="F136" s="577" t="str">
        <f t="shared" ref="F136:F137" si="107">RIGHT(B136,3)&amp;"W"</f>
        <v>oidW</v>
      </c>
      <c r="G136" s="563" t="s">
        <v>4689</v>
      </c>
      <c r="H136" s="583">
        <f t="shared" si="100"/>
        <v>43642</v>
      </c>
      <c r="I136" s="583">
        <f t="shared" si="101"/>
        <v>43643</v>
      </c>
      <c r="J136" s="633">
        <f>J135+7</f>
        <v>43644</v>
      </c>
      <c r="K136" s="633">
        <f t="shared" si="102"/>
        <v>43652</v>
      </c>
      <c r="L136" s="633">
        <f t="shared" si="103"/>
        <v>43654</v>
      </c>
      <c r="M136" s="633">
        <f t="shared" si="104"/>
        <v>43660</v>
      </c>
      <c r="N136" s="795">
        <f t="shared" si="105"/>
        <v>43664</v>
      </c>
    </row>
    <row r="137" spans="1:19" s="290" customFormat="1" ht="19.899999999999999" customHeight="1" thickBot="1">
      <c r="A137" s="649">
        <f t="shared" si="106"/>
        <v>27</v>
      </c>
      <c r="B137" s="651" t="s">
        <v>4685</v>
      </c>
      <c r="C137" s="564" t="str">
        <f>VLOOKUP((LEFT(B137,3)),'ships name'!A:C,2,FALSE)</f>
        <v>Cosco Thailand</v>
      </c>
      <c r="D137" s="815" t="str">
        <f>VLOOKUP(C137,'ships name'!B:C,2,FALSE)</f>
        <v>中远泰国</v>
      </c>
      <c r="E137" s="614" t="str">
        <f>TEXT(LEFT(F137,3)-1,"000")&amp;"E"</f>
        <v>064E</v>
      </c>
      <c r="F137" s="614" t="str">
        <f t="shared" si="107"/>
        <v>065W</v>
      </c>
      <c r="G137" s="564" t="s">
        <v>4690</v>
      </c>
      <c r="H137" s="583">
        <f t="shared" si="100"/>
        <v>43649</v>
      </c>
      <c r="I137" s="647">
        <f t="shared" si="101"/>
        <v>43650</v>
      </c>
      <c r="J137" s="647">
        <f>J136+7</f>
        <v>43651</v>
      </c>
      <c r="K137" s="630">
        <f t="shared" si="102"/>
        <v>43659</v>
      </c>
      <c r="L137" s="630">
        <f t="shared" si="103"/>
        <v>43661</v>
      </c>
      <c r="M137" s="630">
        <f t="shared" si="104"/>
        <v>43667</v>
      </c>
      <c r="N137" s="799">
        <f t="shared" si="105"/>
        <v>43671</v>
      </c>
    </row>
    <row r="138" spans="1:19" s="103" customFormat="1" ht="25.9" customHeight="1" thickBot="1">
      <c r="A138" s="1150" t="s">
        <v>4333</v>
      </c>
      <c r="B138" s="1151"/>
      <c r="C138" s="1151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147" t="s">
        <v>2</v>
      </c>
      <c r="L138" s="1148"/>
      <c r="M138" s="1148"/>
      <c r="N138" s="1148"/>
      <c r="O138" s="1148"/>
      <c r="P138" s="1149"/>
      <c r="Q138" s="568"/>
      <c r="R138" s="568"/>
      <c r="S138" s="568"/>
    </row>
    <row r="139" spans="1:19" s="290" customFormat="1" ht="19.899999999999999" customHeight="1">
      <c r="A139" s="1116" t="s">
        <v>3</v>
      </c>
      <c r="B139" s="1152" t="s">
        <v>4</v>
      </c>
      <c r="C139" s="1152" t="s">
        <v>5</v>
      </c>
      <c r="D139" s="1153" t="s">
        <v>4291</v>
      </c>
      <c r="E139" s="1154" t="s">
        <v>6</v>
      </c>
      <c r="F139" s="1155"/>
      <c r="G139" s="1156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16"/>
      <c r="B140" s="1119"/>
      <c r="C140" s="1119"/>
      <c r="D140" s="1097"/>
      <c r="E140" s="1097" t="s">
        <v>13</v>
      </c>
      <c r="F140" s="1099" t="s">
        <v>14</v>
      </c>
      <c r="G140" s="1100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17"/>
      <c r="B141" s="1120"/>
      <c r="C141" s="1120"/>
      <c r="D141" s="1098"/>
      <c r="E141" s="1098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23</v>
      </c>
      <c r="B142" s="610" t="s">
        <v>4691</v>
      </c>
      <c r="C142" s="565" t="str">
        <f>VLOOKUP((LEFT(B142,3)),'ships name'!A:C,2,FALSE)</f>
        <v>E.R. FELIXSTOWE</v>
      </c>
      <c r="D142" s="809" t="str">
        <f>VLOOKUP(C142,'ships name'!B:C,2,FALSE)</f>
        <v xml:space="preserve"> </v>
      </c>
      <c r="E142" s="577" t="str">
        <f>TEXT(LEFT(F142,3)-1,"000")&amp;"E"</f>
        <v>062E</v>
      </c>
      <c r="F142" s="577" t="str">
        <f t="shared" ref="F142:F146" si="108">RIGHT(B142,3)&amp;"W"</f>
        <v>063W</v>
      </c>
      <c r="G142" s="566" t="s">
        <v>4695</v>
      </c>
      <c r="H142" s="790">
        <f>I142-1</f>
        <v>43621</v>
      </c>
      <c r="I142" s="790">
        <f>J142</f>
        <v>43622</v>
      </c>
      <c r="J142" s="790">
        <v>43622</v>
      </c>
      <c r="K142" s="790">
        <f>J142+9</f>
        <v>43631</v>
      </c>
      <c r="L142" s="790">
        <f>J142+10</f>
        <v>43632</v>
      </c>
      <c r="M142" s="790">
        <f>J142+14</f>
        <v>43636</v>
      </c>
      <c r="N142" s="797">
        <f>J142+18</f>
        <v>43640</v>
      </c>
      <c r="O142" s="797">
        <f>J142+20</f>
        <v>43642</v>
      </c>
      <c r="P142" s="794">
        <f>J142+22</f>
        <v>43644</v>
      </c>
    </row>
    <row r="143" spans="1:19" s="290" customFormat="1" ht="19.899999999999999" customHeight="1">
      <c r="A143" s="649">
        <f>A142+1</f>
        <v>24</v>
      </c>
      <c r="B143" s="577" t="s">
        <v>4929</v>
      </c>
      <c r="C143" s="563" t="str">
        <f>VLOOKUP((LEFT(B143,3)),'ships name'!A:C,2,FALSE)</f>
        <v>GREENWICH BRIDGE</v>
      </c>
      <c r="D143" s="809" t="str">
        <f>VLOOKUP(C143,'ships name'!B:C,2,FALSE)</f>
        <v xml:space="preserve"> </v>
      </c>
      <c r="E143" s="577" t="str">
        <f>TEXT(LEFT(F143,3)-1,"000")&amp;"E"</f>
        <v>000E</v>
      </c>
      <c r="F143" s="577" t="str">
        <f t="shared" si="108"/>
        <v>001W</v>
      </c>
      <c r="G143" s="563" t="s">
        <v>4696</v>
      </c>
      <c r="H143" s="633">
        <f t="shared" ref="H143:H146" si="109">I143-1</f>
        <v>43628</v>
      </c>
      <c r="I143" s="633">
        <f t="shared" ref="I143:I146" si="110">J143</f>
        <v>43629</v>
      </c>
      <c r="J143" s="633">
        <f>J142+7</f>
        <v>43629</v>
      </c>
      <c r="K143" s="633">
        <f t="shared" ref="K143:K146" si="111">J143+9</f>
        <v>43638</v>
      </c>
      <c r="L143" s="633">
        <f t="shared" ref="L143:L146" si="112">J143+10</f>
        <v>43639</v>
      </c>
      <c r="M143" s="633">
        <f t="shared" ref="M143:M146" si="113">J143+14</f>
        <v>43643</v>
      </c>
      <c r="N143" s="727">
        <f t="shared" ref="N143:N146" si="114">J143+18</f>
        <v>43647</v>
      </c>
      <c r="O143" s="727">
        <f t="shared" ref="O143:O146" si="115">J143+20</f>
        <v>43649</v>
      </c>
      <c r="P143" s="795">
        <f t="shared" ref="P143:P146" si="116">J143+22</f>
        <v>43651</v>
      </c>
    </row>
    <row r="144" spans="1:19" s="290" customFormat="1" ht="19.899999999999999" customHeight="1">
      <c r="A144" s="649">
        <f>A143+1</f>
        <v>25</v>
      </c>
      <c r="B144" s="646" t="s">
        <v>4692</v>
      </c>
      <c r="C144" s="563" t="str">
        <f>VLOOKUP((LEFT(B144,3)),'ships name'!A:C,2,FALSE)</f>
        <v>APL ENGLAND</v>
      </c>
      <c r="D144" s="809" t="str">
        <f>VLOOKUP(C144,'ships name'!B:C,2,FALSE)</f>
        <v>美总英格兰</v>
      </c>
      <c r="E144" s="577" t="str">
        <f>TEXT(LEFT(F144,3)-1,"000")&amp;"E"</f>
        <v>037E</v>
      </c>
      <c r="F144" s="577" t="str">
        <f t="shared" si="108"/>
        <v>038W</v>
      </c>
      <c r="G144" s="563" t="s">
        <v>4697</v>
      </c>
      <c r="H144" s="633">
        <f t="shared" si="109"/>
        <v>43635</v>
      </c>
      <c r="I144" s="633">
        <f t="shared" si="110"/>
        <v>43636</v>
      </c>
      <c r="J144" s="633">
        <f>J143+7</f>
        <v>43636</v>
      </c>
      <c r="K144" s="633">
        <f t="shared" si="111"/>
        <v>43645</v>
      </c>
      <c r="L144" s="633">
        <f t="shared" si="112"/>
        <v>43646</v>
      </c>
      <c r="M144" s="633">
        <f t="shared" si="113"/>
        <v>43650</v>
      </c>
      <c r="N144" s="727">
        <f t="shared" si="114"/>
        <v>43654</v>
      </c>
      <c r="O144" s="727">
        <f t="shared" si="115"/>
        <v>43656</v>
      </c>
      <c r="P144" s="795">
        <f t="shared" si="116"/>
        <v>43658</v>
      </c>
    </row>
    <row r="145" spans="1:19" s="290" customFormat="1" ht="19.899999999999999" customHeight="1">
      <c r="A145" s="649">
        <f>A144+1</f>
        <v>26</v>
      </c>
      <c r="B145" s="646" t="s">
        <v>4693</v>
      </c>
      <c r="C145" s="563" t="str">
        <f>VLOOKUP((LEFT(B145,3)),'ships name'!A:C,2,FALSE)</f>
        <v>WAN HAI 611</v>
      </c>
      <c r="D145" s="809">
        <f>VLOOKUP(C145,'ships name'!B:C,2,FALSE)</f>
        <v>0</v>
      </c>
      <c r="E145" s="577" t="str">
        <f>TEXT(LEFT(F145,3)-1,"000")&amp;"E"</f>
        <v>036E</v>
      </c>
      <c r="F145" s="577" t="str">
        <f t="shared" si="108"/>
        <v>037W</v>
      </c>
      <c r="G145" s="563" t="s">
        <v>4698</v>
      </c>
      <c r="H145" s="633">
        <f t="shared" si="109"/>
        <v>43642</v>
      </c>
      <c r="I145" s="633">
        <f t="shared" si="110"/>
        <v>43643</v>
      </c>
      <c r="J145" s="633">
        <f>J144+7</f>
        <v>43643</v>
      </c>
      <c r="K145" s="633">
        <f t="shared" si="111"/>
        <v>43652</v>
      </c>
      <c r="L145" s="633">
        <f t="shared" si="112"/>
        <v>43653</v>
      </c>
      <c r="M145" s="633">
        <f t="shared" si="113"/>
        <v>43657</v>
      </c>
      <c r="N145" s="727">
        <f t="shared" si="114"/>
        <v>43661</v>
      </c>
      <c r="O145" s="727">
        <f t="shared" si="115"/>
        <v>43663</v>
      </c>
      <c r="P145" s="795">
        <f t="shared" si="116"/>
        <v>43665</v>
      </c>
    </row>
    <row r="146" spans="1:19" s="290" customFormat="1" ht="19.899999999999999" customHeight="1" thickBot="1">
      <c r="A146" s="649">
        <f>A145+1</f>
        <v>27</v>
      </c>
      <c r="B146" s="651" t="s">
        <v>4694</v>
      </c>
      <c r="C146" s="564" t="str">
        <f>VLOOKUP((LEFT(B146,3)),'ships name'!A:C,2,FALSE)</f>
        <v>KOTA CABAR</v>
      </c>
      <c r="D146" s="810" t="str">
        <f>VLOOKUP(C146,'ships name'!B:C,2,FALSE)</f>
        <v>胜城</v>
      </c>
      <c r="E146" s="614" t="str">
        <f>TEXT(LEFT(F146,3)-1,"000")&amp;"E"</f>
        <v>044E</v>
      </c>
      <c r="F146" s="614" t="str">
        <f t="shared" si="108"/>
        <v>045W</v>
      </c>
      <c r="G146" s="564" t="s">
        <v>4699</v>
      </c>
      <c r="H146" s="647">
        <f t="shared" si="109"/>
        <v>43649</v>
      </c>
      <c r="I146" s="647">
        <f t="shared" si="110"/>
        <v>43650</v>
      </c>
      <c r="J146" s="647">
        <f>J145+7</f>
        <v>43650</v>
      </c>
      <c r="K146" s="647">
        <f t="shared" si="111"/>
        <v>43659</v>
      </c>
      <c r="L146" s="647">
        <f t="shared" si="112"/>
        <v>43660</v>
      </c>
      <c r="M146" s="647">
        <f t="shared" si="113"/>
        <v>43664</v>
      </c>
      <c r="N146" s="798">
        <f t="shared" si="114"/>
        <v>43668</v>
      </c>
      <c r="O146" s="798">
        <f t="shared" si="115"/>
        <v>43670</v>
      </c>
      <c r="P146" s="796">
        <f t="shared" si="116"/>
        <v>43672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50" t="s">
        <v>150</v>
      </c>
      <c r="B148" s="1151"/>
      <c r="C148" s="1151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147" t="s">
        <v>2</v>
      </c>
      <c r="L148" s="1148"/>
      <c r="M148" s="1149"/>
      <c r="N148" s="102"/>
      <c r="O148" s="102"/>
      <c r="P148" s="102"/>
    </row>
    <row r="149" spans="1:19" s="290" customFormat="1" ht="19.899999999999999" customHeight="1">
      <c r="A149" s="1161" t="s">
        <v>3</v>
      </c>
      <c r="B149" s="1162" t="s">
        <v>4</v>
      </c>
      <c r="C149" s="1162" t="s">
        <v>5</v>
      </c>
      <c r="D149" s="1095" t="s">
        <v>4291</v>
      </c>
      <c r="E149" s="1109" t="s">
        <v>6</v>
      </c>
      <c r="F149" s="1110"/>
      <c r="G149" s="1111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59"/>
      <c r="B150" s="1157"/>
      <c r="C150" s="1157"/>
      <c r="D150" s="1097"/>
      <c r="E150" s="1097" t="s">
        <v>13</v>
      </c>
      <c r="F150" s="1099" t="s">
        <v>14</v>
      </c>
      <c r="G150" s="1100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60"/>
      <c r="B151" s="1158"/>
      <c r="C151" s="1158"/>
      <c r="D151" s="1098"/>
      <c r="E151" s="1098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23</v>
      </c>
      <c r="B152" s="610" t="s">
        <v>4556</v>
      </c>
      <c r="C152" s="809" t="str">
        <f>VLOOKUP((LEFT(B152,3)),'ships name'!A:C,2,FALSE)</f>
        <v>FESCO DIOMID</v>
      </c>
      <c r="D152" s="809" t="str">
        <f>VLOOKUP(C152,'ships name'!B:C,2,FALSE)</f>
        <v>远东宏伟</v>
      </c>
      <c r="E152" s="653" t="str">
        <f>F152</f>
        <v>306N</v>
      </c>
      <c r="F152" s="610" t="str">
        <f>RIGHT(B152,3)&amp;"N"</f>
        <v>306N</v>
      </c>
      <c r="G152" s="809" t="s">
        <v>4557</v>
      </c>
      <c r="H152" s="667">
        <f>I152-1</f>
        <v>43619</v>
      </c>
      <c r="I152" s="667">
        <f>J152</f>
        <v>43620</v>
      </c>
      <c r="J152" s="687">
        <v>43620</v>
      </c>
      <c r="K152" s="915">
        <f>J152+4</f>
        <v>43624</v>
      </c>
      <c r="L152" s="687">
        <f>J152+5</f>
        <v>43625</v>
      </c>
      <c r="M152" s="916">
        <f>J152+8</f>
        <v>43628</v>
      </c>
      <c r="N152" s="320"/>
    </row>
    <row r="153" spans="1:19" s="290" customFormat="1" ht="19.899999999999999" customHeight="1">
      <c r="A153" s="644">
        <f>A152+1</f>
        <v>24</v>
      </c>
      <c r="B153" s="582" t="s">
        <v>4555</v>
      </c>
      <c r="C153" s="493" t="str">
        <f>VLOOKUP((LEFT(B153,3)),'ships name'!A:C,2,FALSE)</f>
        <v>PORT KLANG VOYAGER</v>
      </c>
      <c r="D153" s="809" t="str">
        <f>VLOOKUP(C153,'ships name'!B:C,2,FALSE)</f>
        <v xml:space="preserve"> </v>
      </c>
      <c r="E153" s="653" t="str">
        <f>F153</f>
        <v>062N</v>
      </c>
      <c r="F153" s="610" t="str">
        <f t="shared" ref="F153" si="117">RIGHT(B153,3)&amp;"N"</f>
        <v>062N</v>
      </c>
      <c r="G153" s="812" t="s">
        <v>4558</v>
      </c>
      <c r="H153" s="630">
        <f>I153-1</f>
        <v>43626</v>
      </c>
      <c r="I153" s="630">
        <f>J153</f>
        <v>43627</v>
      </c>
      <c r="J153" s="631">
        <f>J152+7</f>
        <v>43627</v>
      </c>
      <c r="K153" s="654">
        <f>J153+4</f>
        <v>43631</v>
      </c>
      <c r="L153" s="631">
        <f>J153+5</f>
        <v>43632</v>
      </c>
      <c r="M153" s="655">
        <f>J153+8</f>
        <v>43635</v>
      </c>
      <c r="N153" s="320"/>
    </row>
    <row r="154" spans="1:19" s="290" customFormat="1" ht="19.899999999999999" customHeight="1">
      <c r="A154" s="644">
        <f>A153+1</f>
        <v>25</v>
      </c>
      <c r="B154" s="582" t="s">
        <v>4700</v>
      </c>
      <c r="C154" s="493" t="str">
        <f>VLOOKUP((LEFT(B154,3)),'ships name'!A:C,2,FALSE)</f>
        <v>TIM-S</v>
      </c>
      <c r="D154" s="809" t="str">
        <f>VLOOKUP(C154,'ships name'!B:C,2,FALSE)</f>
        <v xml:space="preserve"> </v>
      </c>
      <c r="E154" s="653" t="str">
        <f>F154</f>
        <v>869N</v>
      </c>
      <c r="F154" s="610" t="str">
        <f t="shared" ref="F154" si="118">RIGHT(B154,3)&amp;"N"</f>
        <v>869N</v>
      </c>
      <c r="G154" s="812" t="s">
        <v>4559</v>
      </c>
      <c r="H154" s="630">
        <f>I154-1</f>
        <v>43633</v>
      </c>
      <c r="I154" s="630">
        <f>J154</f>
        <v>43634</v>
      </c>
      <c r="J154" s="631">
        <f>J153+7</f>
        <v>43634</v>
      </c>
      <c r="K154" s="654">
        <f>J154+4</f>
        <v>43638</v>
      </c>
      <c r="L154" s="631">
        <f>J154+5</f>
        <v>43639</v>
      </c>
      <c r="M154" s="655">
        <f>J154+8</f>
        <v>43642</v>
      </c>
    </row>
    <row r="155" spans="1:19" s="290" customFormat="1" ht="19.899999999999999" customHeight="1">
      <c r="A155" s="644">
        <f>A154+1</f>
        <v>26</v>
      </c>
      <c r="B155" s="582" t="s">
        <v>4701</v>
      </c>
      <c r="C155" s="493" t="str">
        <f>VLOOKUP((LEFT(B155,3)),'ships name'!A:C,2,FALSE)</f>
        <v>FESCO DIOMID</v>
      </c>
      <c r="D155" s="809" t="str">
        <f>VLOOKUP(C155,'ships name'!B:C,2,FALSE)</f>
        <v>远东宏伟</v>
      </c>
      <c r="E155" s="653" t="str">
        <f>F155</f>
        <v>312N</v>
      </c>
      <c r="F155" s="610" t="str">
        <f t="shared" ref="F155" si="119">RIGHT(B155,3)&amp;"N"</f>
        <v>312N</v>
      </c>
      <c r="G155" s="812" t="s">
        <v>4560</v>
      </c>
      <c r="H155" s="630">
        <f>I155-1</f>
        <v>43640</v>
      </c>
      <c r="I155" s="630">
        <f>J155</f>
        <v>43641</v>
      </c>
      <c r="J155" s="631">
        <f>J154+7</f>
        <v>43641</v>
      </c>
      <c r="K155" s="654">
        <f>J155+4</f>
        <v>43645</v>
      </c>
      <c r="L155" s="631">
        <f>J155+5</f>
        <v>43646</v>
      </c>
      <c r="M155" s="655">
        <f>J155+8</f>
        <v>43649</v>
      </c>
    </row>
    <row r="156" spans="1:19" s="290" customFormat="1" ht="19.899999999999999" customHeight="1" thickBot="1">
      <c r="A156" s="644">
        <f>A155+1</f>
        <v>27</v>
      </c>
      <c r="B156" s="669" t="s">
        <v>4702</v>
      </c>
      <c r="C156" s="511" t="str">
        <f>VLOOKUP((LEFT(B156,3)),'ships name'!A:C,2,FALSE)</f>
        <v>PORT KLANG VOYAGER</v>
      </c>
      <c r="D156" s="810" t="str">
        <f>VLOOKUP(C156,'ships name'!B:C,2,FALSE)</f>
        <v xml:space="preserve"> </v>
      </c>
      <c r="E156" s="690" t="str">
        <f>F156</f>
        <v>068N</v>
      </c>
      <c r="F156" s="614" t="str">
        <f t="shared" ref="F156" si="120">RIGHT(B156,3)&amp;"N"</f>
        <v>068N</v>
      </c>
      <c r="G156" s="810" t="s">
        <v>4561</v>
      </c>
      <c r="H156" s="647">
        <f>I156-1</f>
        <v>43647</v>
      </c>
      <c r="I156" s="647">
        <f>J156</f>
        <v>43648</v>
      </c>
      <c r="J156" s="682">
        <f>J155+7</f>
        <v>43648</v>
      </c>
      <c r="K156" s="691">
        <f>J156+4</f>
        <v>43652</v>
      </c>
      <c r="L156" s="643">
        <f>J156+5</f>
        <v>43653</v>
      </c>
      <c r="M156" s="643">
        <f>J156+8</f>
        <v>43656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13" t="s">
        <v>3727</v>
      </c>
      <c r="B158" s="1114"/>
      <c r="C158" s="1114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101" t="s">
        <v>2</v>
      </c>
      <c r="L158" s="1102"/>
      <c r="M158" s="1103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61" t="s">
        <v>3</v>
      </c>
      <c r="B159" s="1162" t="s">
        <v>4</v>
      </c>
      <c r="C159" s="1162" t="s">
        <v>5</v>
      </c>
      <c r="D159" s="1095" t="s">
        <v>4291</v>
      </c>
      <c r="E159" s="1109" t="s">
        <v>6</v>
      </c>
      <c r="F159" s="1110"/>
      <c r="G159" s="1111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59"/>
      <c r="B160" s="1157"/>
      <c r="C160" s="1157"/>
      <c r="D160" s="1097"/>
      <c r="E160" s="1097" t="s">
        <v>13</v>
      </c>
      <c r="F160" s="1099" t="s">
        <v>14</v>
      </c>
      <c r="G160" s="1100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60"/>
      <c r="B161" s="1158"/>
      <c r="C161" s="1158"/>
      <c r="D161" s="1098"/>
      <c r="E161" s="1098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23</v>
      </c>
      <c r="B162" s="610" t="s">
        <v>4703</v>
      </c>
      <c r="C162" s="493" t="str">
        <f>VLOOKUP((LEFT(B162,3)),'ships name'!A:C,2,FALSE)</f>
        <v>FESCO DALNEGORSK</v>
      </c>
      <c r="D162" s="809" t="str">
        <f>VLOOKUP(C162,'ships name'!B:C,2,FALSE)</f>
        <v xml:space="preserve"> </v>
      </c>
      <c r="E162" s="676" t="str">
        <f>TEXT((LEFT(F162,3)-1),"000")&amp;"W"</f>
        <v>009W</v>
      </c>
      <c r="F162" s="676" t="str">
        <f>RIGHT(B162,3)&amp;"E"</f>
        <v>010E</v>
      </c>
      <c r="G162" s="809" t="s">
        <v>4708</v>
      </c>
      <c r="H162" s="667">
        <f>I162-1</f>
        <v>43619</v>
      </c>
      <c r="I162" s="667">
        <f>J162-1</f>
        <v>43620</v>
      </c>
      <c r="J162" s="687">
        <v>43621</v>
      </c>
      <c r="K162" s="585">
        <f>J162+3</f>
        <v>43624</v>
      </c>
      <c r="L162" s="583">
        <f>J162+5</f>
        <v>43626</v>
      </c>
      <c r="M162" s="586">
        <f>J162+9</f>
        <v>43630</v>
      </c>
      <c r="N162" s="320"/>
    </row>
    <row r="163" spans="1:19" s="290" customFormat="1" ht="19.899999999999999" customHeight="1">
      <c r="A163" s="649">
        <f>A162+1</f>
        <v>24</v>
      </c>
      <c r="B163" s="582" t="s">
        <v>4704</v>
      </c>
      <c r="C163" s="493" t="str">
        <f>VLOOKUP((LEFT(B163,3)),'ships name'!A:C,2,FALSE)</f>
        <v>CALIDRIS</v>
      </c>
      <c r="D163" s="809">
        <f>VLOOKUP(C163,'ships name'!B:C,2,FALSE)</f>
        <v>0</v>
      </c>
      <c r="E163" s="658" t="str">
        <f t="shared" ref="E163:E166" si="121">TEXT((LEFT(F163,3)-1),"000")&amp;"W"</f>
        <v>273W</v>
      </c>
      <c r="F163" s="658" t="str">
        <f>RIGHT(B163,3)&amp;"E"</f>
        <v>274E</v>
      </c>
      <c r="G163" s="812" t="s">
        <v>4709</v>
      </c>
      <c r="H163" s="630">
        <f>I163-1</f>
        <v>43626</v>
      </c>
      <c r="I163" s="630">
        <f t="shared" ref="I163" si="122">J163-1</f>
        <v>43627</v>
      </c>
      <c r="J163" s="631">
        <f>J162+7</f>
        <v>43628</v>
      </c>
      <c r="K163" s="645">
        <f t="shared" ref="K163" si="123">J163+3</f>
        <v>43631</v>
      </c>
      <c r="L163" s="633">
        <f t="shared" ref="L163" si="124">J163+5</f>
        <v>43633</v>
      </c>
      <c r="M163" s="642">
        <f t="shared" ref="M163" si="125">J163+9</f>
        <v>43637</v>
      </c>
      <c r="N163" s="320"/>
    </row>
    <row r="164" spans="1:19" s="290" customFormat="1" ht="19.899999999999999" customHeight="1">
      <c r="A164" s="650">
        <f>A163+1</f>
        <v>25</v>
      </c>
      <c r="B164" s="582" t="s">
        <v>4705</v>
      </c>
      <c r="C164" s="493" t="str">
        <f>VLOOKUP((LEFT(B164,3)),'ships name'!A:C,2,FALSE)</f>
        <v>FESCO DALNEGORSK</v>
      </c>
      <c r="D164" s="809" t="str">
        <f>VLOOKUP(C164,'ships name'!B:C,2,FALSE)</f>
        <v xml:space="preserve"> </v>
      </c>
      <c r="E164" s="658" t="str">
        <f t="shared" si="121"/>
        <v>010W</v>
      </c>
      <c r="F164" s="658" t="str">
        <f>RIGHT(B164,3)&amp;"E"</f>
        <v>011E</v>
      </c>
      <c r="G164" s="812" t="s">
        <v>4710</v>
      </c>
      <c r="H164" s="630">
        <f>I164-1</f>
        <v>43633</v>
      </c>
      <c r="I164" s="630">
        <f t="shared" ref="I164" si="126">J164-1</f>
        <v>43634</v>
      </c>
      <c r="J164" s="631">
        <f>J163+7</f>
        <v>43635</v>
      </c>
      <c r="K164" s="645">
        <f t="shared" ref="K164" si="127">J164+3</f>
        <v>43638</v>
      </c>
      <c r="L164" s="633">
        <f t="shared" ref="L164" si="128">J164+5</f>
        <v>43640</v>
      </c>
      <c r="M164" s="642">
        <f t="shared" ref="M164" si="129">J164+9</f>
        <v>43644</v>
      </c>
    </row>
    <row r="165" spans="1:19" s="290" customFormat="1" ht="19.899999999999999" customHeight="1">
      <c r="A165" s="650">
        <f>A164+1</f>
        <v>26</v>
      </c>
      <c r="B165" s="582" t="s">
        <v>4706</v>
      </c>
      <c r="C165" s="493" t="str">
        <f>VLOOKUP((LEFT(B165,3)),'ships name'!A:C,2,FALSE)</f>
        <v>CALIDRIS</v>
      </c>
      <c r="D165" s="809">
        <f>VLOOKUP(C165,'ships name'!B:C,2,FALSE)</f>
        <v>0</v>
      </c>
      <c r="E165" s="658" t="str">
        <f t="shared" si="121"/>
        <v>274W</v>
      </c>
      <c r="F165" s="658" t="str">
        <f>RIGHT(B165,3)&amp;"E"</f>
        <v>275E</v>
      </c>
      <c r="G165" s="812" t="s">
        <v>4711</v>
      </c>
      <c r="H165" s="630">
        <f>I165-1</f>
        <v>43640</v>
      </c>
      <c r="I165" s="630">
        <f t="shared" ref="I165" si="130">J165-1</f>
        <v>43641</v>
      </c>
      <c r="J165" s="631">
        <f>J164+7</f>
        <v>43642</v>
      </c>
      <c r="K165" s="645">
        <f t="shared" ref="K165" si="131">J165+3</f>
        <v>43645</v>
      </c>
      <c r="L165" s="633">
        <f t="shared" ref="L165" si="132">J165+5</f>
        <v>43647</v>
      </c>
      <c r="M165" s="642">
        <f t="shared" ref="M165" si="133">J165+9</f>
        <v>43651</v>
      </c>
    </row>
    <row r="166" spans="1:19" s="290" customFormat="1" ht="19.899999999999999" customHeight="1" thickBot="1">
      <c r="A166" s="650">
        <f>A165+1</f>
        <v>27</v>
      </c>
      <c r="B166" s="582" t="s">
        <v>4707</v>
      </c>
      <c r="C166" s="815" t="str">
        <f>VLOOKUP((LEFT(B166,3)),'ships name'!A:C,2,FALSE)</f>
        <v>FESCO DALNEGORSK</v>
      </c>
      <c r="D166" s="815" t="str">
        <f>VLOOKUP(C166,'ships name'!B:C,2,FALSE)</f>
        <v xml:space="preserve"> </v>
      </c>
      <c r="E166" s="658" t="str">
        <f t="shared" si="121"/>
        <v>011W</v>
      </c>
      <c r="F166" s="658" t="str">
        <f>RIGHT(B166,3)&amp;"E"</f>
        <v>012E</v>
      </c>
      <c r="G166" s="810" t="s">
        <v>4712</v>
      </c>
      <c r="H166" s="630">
        <f>I166-1</f>
        <v>43647</v>
      </c>
      <c r="I166" s="630">
        <f t="shared" ref="I166" si="134">J166-1</f>
        <v>43648</v>
      </c>
      <c r="J166" s="656">
        <f>J165+7</f>
        <v>43649</v>
      </c>
      <c r="K166" s="920">
        <f t="shared" ref="K166" si="135">J166+3</f>
        <v>43652</v>
      </c>
      <c r="L166" s="630">
        <f t="shared" ref="L166" si="136">J166+5</f>
        <v>43654</v>
      </c>
      <c r="M166" s="631">
        <f t="shared" ref="M166" si="137">J166+9</f>
        <v>43658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113" t="s">
        <v>3484</v>
      </c>
      <c r="B168" s="1114"/>
      <c r="C168" s="1114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47" t="s">
        <v>2</v>
      </c>
      <c r="L168" s="1148"/>
      <c r="M168" s="1148"/>
      <c r="N168" s="1148"/>
      <c r="O168" s="1149"/>
      <c r="P168" s="362"/>
      <c r="Q168" s="362"/>
      <c r="R168" s="362"/>
      <c r="S168" s="362"/>
    </row>
    <row r="169" spans="1:19" s="290" customFormat="1" ht="19.899999999999999" customHeight="1">
      <c r="A169" s="1159" t="s">
        <v>3</v>
      </c>
      <c r="B169" s="1157" t="s">
        <v>4</v>
      </c>
      <c r="C169" s="1157" t="s">
        <v>5</v>
      </c>
      <c r="D169" s="1095" t="s">
        <v>4291</v>
      </c>
      <c r="E169" s="1109" t="s">
        <v>6</v>
      </c>
      <c r="F169" s="1110"/>
      <c r="G169" s="1111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59"/>
      <c r="B170" s="1157"/>
      <c r="C170" s="1157"/>
      <c r="D170" s="1097"/>
      <c r="E170" s="1097" t="s">
        <v>13</v>
      </c>
      <c r="F170" s="1099" t="s">
        <v>14</v>
      </c>
      <c r="G170" s="1100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60"/>
      <c r="B171" s="1158"/>
      <c r="C171" s="1158"/>
      <c r="D171" s="1098"/>
      <c r="E171" s="1098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23</v>
      </c>
      <c r="B172" s="595" t="s">
        <v>4562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068E</v>
      </c>
      <c r="F172" s="676" t="str">
        <f>RIGHT(B172,3)&amp; "W"</f>
        <v>069W</v>
      </c>
      <c r="G172" s="491" t="s">
        <v>4563</v>
      </c>
      <c r="H172" s="583">
        <f>I172-1</f>
        <v>43617</v>
      </c>
      <c r="I172" s="583">
        <f>J172</f>
        <v>43618</v>
      </c>
      <c r="J172" s="586">
        <v>43618</v>
      </c>
      <c r="K172" s="652">
        <f>J172+3</f>
        <v>43621</v>
      </c>
      <c r="L172" s="583">
        <f>J172+11</f>
        <v>43629</v>
      </c>
      <c r="M172" s="583">
        <f>J172+13</f>
        <v>43631</v>
      </c>
      <c r="N172" s="583">
        <f>J172+20</f>
        <v>43638</v>
      </c>
      <c r="O172" s="586">
        <f>J172+22</f>
        <v>43640</v>
      </c>
    </row>
    <row r="173" spans="1:19" s="290" customFormat="1" ht="19.899999999999999" customHeight="1">
      <c r="A173" s="649">
        <f>A172+1</f>
        <v>24</v>
      </c>
      <c r="B173" s="582" t="s">
        <v>4713</v>
      </c>
      <c r="C173" s="490" t="str">
        <f>VLOOKUP(LEFT(B173,3),'ships name'!A:C,2,FALSE)</f>
        <v>NAVIOS AMARILLO</v>
      </c>
      <c r="D173" s="809" t="str">
        <f>VLOOKUP(C173,'ships name'!B:C,2,FALSE)</f>
        <v xml:space="preserve"> </v>
      </c>
      <c r="E173" s="658" t="str">
        <f>TEXT((LEFT(F173,3)-1),"000")&amp;"E"</f>
        <v>035E</v>
      </c>
      <c r="F173" s="658" t="str">
        <f>RIGHT(B173,3)&amp; "W"</f>
        <v>036W</v>
      </c>
      <c r="G173" s="488" t="s">
        <v>4716</v>
      </c>
      <c r="H173" s="588">
        <f>I173-1</f>
        <v>43624</v>
      </c>
      <c r="I173" s="588">
        <f>J173</f>
        <v>43625</v>
      </c>
      <c r="J173" s="591">
        <f>J172+7</f>
        <v>43625</v>
      </c>
      <c r="K173" s="657">
        <f>J173+3</f>
        <v>43628</v>
      </c>
      <c r="L173" s="588">
        <f>J173+11</f>
        <v>43636</v>
      </c>
      <c r="M173" s="588">
        <f>J173+13</f>
        <v>43638</v>
      </c>
      <c r="N173" s="588">
        <f>J173+20</f>
        <v>43645</v>
      </c>
      <c r="O173" s="591">
        <f>J173+22</f>
        <v>43647</v>
      </c>
    </row>
    <row r="174" spans="1:19" s="290" customFormat="1" ht="19.899999999999999" customHeight="1">
      <c r="A174" s="650">
        <f>A173+1</f>
        <v>25</v>
      </c>
      <c r="B174" s="582" t="s">
        <v>4714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063E</v>
      </c>
      <c r="F174" s="658" t="str">
        <f>RIGHT(B174,3)&amp; "W"</f>
        <v>064W</v>
      </c>
      <c r="G174" s="488" t="s">
        <v>4717</v>
      </c>
      <c r="H174" s="588">
        <f>I174-1</f>
        <v>43631</v>
      </c>
      <c r="I174" s="588">
        <f>J174</f>
        <v>43632</v>
      </c>
      <c r="J174" s="591">
        <f>J173+7</f>
        <v>43632</v>
      </c>
      <c r="K174" s="657">
        <f>J174+3</f>
        <v>43635</v>
      </c>
      <c r="L174" s="588">
        <f>J174+11</f>
        <v>43643</v>
      </c>
      <c r="M174" s="588">
        <f>J174+13</f>
        <v>43645</v>
      </c>
      <c r="N174" s="588">
        <f>J174+20</f>
        <v>43652</v>
      </c>
      <c r="O174" s="591">
        <f>J174+22</f>
        <v>43654</v>
      </c>
    </row>
    <row r="175" spans="1:19" s="290" customFormat="1" ht="19.899999999999999" customHeight="1">
      <c r="A175" s="650">
        <f>A174+1</f>
        <v>26</v>
      </c>
      <c r="B175" s="582" t="s">
        <v>27</v>
      </c>
      <c r="C175" s="490" t="str">
        <f>VLOOKUP(LEFT(B175,3),'ships name'!A:C,2,FALSE)</f>
        <v>TO BE ADVISED</v>
      </c>
      <c r="D175" s="809" t="str">
        <f>VLOOKUP(C175,'ships name'!B:C,2,FALSE)</f>
        <v>TO BE ADVISED</v>
      </c>
      <c r="E175" s="658" t="e">
        <f>TEXT((LEFT(F175,3)-1),"000")&amp;"E"</f>
        <v>#VALUE!</v>
      </c>
      <c r="F175" s="658" t="str">
        <f>RIGHT(B175,3)&amp; "W"</f>
        <v>TBAW</v>
      </c>
      <c r="G175" s="488" t="s">
        <v>4718</v>
      </c>
      <c r="H175" s="588">
        <f>I175-1</f>
        <v>43638</v>
      </c>
      <c r="I175" s="588">
        <f>J175</f>
        <v>43639</v>
      </c>
      <c r="J175" s="591">
        <f>J174+7</f>
        <v>43639</v>
      </c>
      <c r="K175" s="657">
        <f>J175+3</f>
        <v>43642</v>
      </c>
      <c r="L175" s="588">
        <f>J175+11</f>
        <v>43650</v>
      </c>
      <c r="M175" s="588">
        <f>J175+13</f>
        <v>43652</v>
      </c>
      <c r="N175" s="588">
        <f>J175+20</f>
        <v>43659</v>
      </c>
      <c r="O175" s="591">
        <f>J175+22</f>
        <v>43661</v>
      </c>
    </row>
    <row r="176" spans="1:19" s="290" customFormat="1" ht="19.899999999999999" customHeight="1" thickBot="1">
      <c r="A176" s="661">
        <f>A175+1</f>
        <v>27</v>
      </c>
      <c r="B176" s="582" t="s">
        <v>4715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076E</v>
      </c>
      <c r="F176" s="658" t="str">
        <f>RIGHT(B176,3)&amp; "W"</f>
        <v>077W</v>
      </c>
      <c r="G176" s="488" t="s">
        <v>4719</v>
      </c>
      <c r="H176" s="630">
        <f>I176-1</f>
        <v>43645</v>
      </c>
      <c r="I176" s="630">
        <f>J176</f>
        <v>43646</v>
      </c>
      <c r="J176" s="656">
        <f>J175+7</f>
        <v>43646</v>
      </c>
      <c r="K176" s="654">
        <f>J176+3</f>
        <v>43649</v>
      </c>
      <c r="L176" s="630">
        <f>J176+11</f>
        <v>43657</v>
      </c>
      <c r="M176" s="630">
        <f>J176+13</f>
        <v>43659</v>
      </c>
      <c r="N176" s="630">
        <f>J176+20</f>
        <v>43666</v>
      </c>
      <c r="O176" s="631">
        <f>J176+22</f>
        <v>43668</v>
      </c>
    </row>
    <row r="177" spans="1:19" s="103" customFormat="1" ht="25.9" customHeight="1" thickBot="1">
      <c r="A177" s="1150" t="s">
        <v>4068</v>
      </c>
      <c r="B177" s="1151"/>
      <c r="C177" s="1151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258" t="s">
        <v>2</v>
      </c>
      <c r="L177" s="1259"/>
      <c r="M177" s="1259"/>
      <c r="N177" s="1259"/>
      <c r="O177" s="1260"/>
      <c r="P177" s="452"/>
      <c r="Q177" s="452"/>
      <c r="R177" s="452"/>
      <c r="S177" s="452"/>
    </row>
    <row r="178" spans="1:19" s="290" customFormat="1" ht="19.899999999999999" customHeight="1">
      <c r="A178" s="1261" t="s">
        <v>3</v>
      </c>
      <c r="B178" s="1152" t="s">
        <v>4</v>
      </c>
      <c r="C178" s="1152" t="s">
        <v>5</v>
      </c>
      <c r="D178" s="1153" t="s">
        <v>4291</v>
      </c>
      <c r="E178" s="1153" t="s">
        <v>6</v>
      </c>
      <c r="F178" s="1153"/>
      <c r="G178" s="1153"/>
      <c r="H178" s="482" t="s">
        <v>7</v>
      </c>
      <c r="I178" s="482" t="s">
        <v>8</v>
      </c>
      <c r="J178" s="360" t="s">
        <v>9</v>
      </c>
      <c r="K178" s="996" t="s">
        <v>29</v>
      </c>
      <c r="L178" s="514" t="s">
        <v>4064</v>
      </c>
      <c r="M178" s="993" t="s">
        <v>4491</v>
      </c>
      <c r="N178" s="514"/>
      <c r="O178" s="355"/>
    </row>
    <row r="179" spans="1:19" s="290" customFormat="1" ht="19.899999999999999" customHeight="1">
      <c r="A179" s="1262"/>
      <c r="B179" s="1119"/>
      <c r="C179" s="1119"/>
      <c r="D179" s="1097"/>
      <c r="E179" s="1097" t="s">
        <v>13</v>
      </c>
      <c r="F179" s="1097" t="s">
        <v>14</v>
      </c>
      <c r="G179" s="1097"/>
      <c r="H179" s="411" t="s">
        <v>15</v>
      </c>
      <c r="I179" s="411" t="s">
        <v>16</v>
      </c>
      <c r="J179" s="344" t="s">
        <v>17</v>
      </c>
      <c r="K179" s="991" t="s">
        <v>4067</v>
      </c>
      <c r="L179" s="411" t="s">
        <v>4066</v>
      </c>
      <c r="M179" s="991" t="s">
        <v>4492</v>
      </c>
      <c r="N179" s="411"/>
      <c r="O179" s="412"/>
    </row>
    <row r="180" spans="1:19" s="290" customFormat="1" ht="19.899999999999999" customHeight="1" thickBot="1">
      <c r="A180" s="1263"/>
      <c r="B180" s="1120"/>
      <c r="C180" s="1120"/>
      <c r="D180" s="1098"/>
      <c r="E180" s="1098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2"/>
      <c r="L180" s="414"/>
      <c r="M180" s="414"/>
      <c r="N180" s="414"/>
      <c r="O180" s="415"/>
    </row>
    <row r="181" spans="1:19" s="290" customFormat="1" ht="19.899999999999999" customHeight="1">
      <c r="A181" s="650">
        <v>23</v>
      </c>
      <c r="B181" s="587" t="s">
        <v>4567</v>
      </c>
      <c r="C181" s="479" t="str">
        <f>VLOOKUP(LEFT(B181,3),'ships name'!A:C,2,FALSE)</f>
        <v>OPHELIA</v>
      </c>
      <c r="D181" s="809" t="str">
        <f>VLOOKUP(C181,'ships name'!B:C,2,FALSE)</f>
        <v xml:space="preserve"> </v>
      </c>
      <c r="E181" s="659" t="str">
        <f>TEXT((LEFT(F181,3)-1),"000")&amp;"E"</f>
        <v>373E</v>
      </c>
      <c r="F181" s="659" t="str">
        <f>RIGHT(B181,3)&amp; "W"</f>
        <v>374W</v>
      </c>
      <c r="G181" s="489" t="s">
        <v>4564</v>
      </c>
      <c r="H181" s="583">
        <f>I181-1</f>
        <v>43617</v>
      </c>
      <c r="I181" s="583">
        <f>J181</f>
        <v>43618</v>
      </c>
      <c r="J181" s="681">
        <v>43618</v>
      </c>
      <c r="K181" s="583">
        <f>J181+7</f>
        <v>43625</v>
      </c>
      <c r="L181" s="583">
        <f>J181+9</f>
        <v>43627</v>
      </c>
      <c r="M181" s="583">
        <f>J181+10</f>
        <v>43628</v>
      </c>
      <c r="N181" s="583"/>
      <c r="O181" s="586"/>
    </row>
    <row r="182" spans="1:19" s="290" customFormat="1" ht="19.899999999999999" customHeight="1">
      <c r="A182" s="649">
        <f>A181+1</f>
        <v>24</v>
      </c>
      <c r="B182" s="646" t="s">
        <v>4720</v>
      </c>
      <c r="C182" s="515" t="str">
        <f>VLOOKUP(LEFT(B182,3),'ships name'!A:C,2,FALSE)</f>
        <v>MOUNT NICHOLSON</v>
      </c>
      <c r="D182" s="809" t="str">
        <f>VLOOKUP(C182,'ships name'!B:C,2,FALSE)</f>
        <v xml:space="preserve"> </v>
      </c>
      <c r="E182" s="662" t="str">
        <f>TEXT((LEFT(F182,3)-1),"000")&amp;"E"</f>
        <v>110E</v>
      </c>
      <c r="F182" s="662" t="str">
        <f>RIGHT(B182,3)&amp; "W"</f>
        <v>111W</v>
      </c>
      <c r="G182" s="663" t="s">
        <v>4724</v>
      </c>
      <c r="H182" s="633">
        <f t="shared" ref="H182" si="138">I182-1</f>
        <v>43624</v>
      </c>
      <c r="I182" s="633">
        <f>J182</f>
        <v>43625</v>
      </c>
      <c r="J182" s="660">
        <f>J181+7</f>
        <v>43625</v>
      </c>
      <c r="K182" s="583">
        <f t="shared" ref="K182:K185" si="139">J182+7</f>
        <v>43632</v>
      </c>
      <c r="L182" s="583">
        <f t="shared" ref="L182:L185" si="140">J182+9</f>
        <v>43634</v>
      </c>
      <c r="M182" s="583">
        <f t="shared" ref="M182:M185" si="141">J182+10</f>
        <v>43635</v>
      </c>
      <c r="N182" s="633"/>
      <c r="O182" s="642"/>
    </row>
    <row r="183" spans="1:19" s="290" customFormat="1" ht="19.899999999999999" customHeight="1">
      <c r="A183" s="649">
        <f>A182+1</f>
        <v>25</v>
      </c>
      <c r="B183" s="646" t="s">
        <v>4721</v>
      </c>
      <c r="C183" s="515" t="str">
        <f>VLOOKUP(LEFT(B183,3),'ships name'!A:C,2,FALSE)</f>
        <v>NORDPANTHER</v>
      </c>
      <c r="D183" s="809" t="str">
        <f>VLOOKUP(C183,'ships name'!B:C,2,FALSE)</f>
        <v xml:space="preserve"> </v>
      </c>
      <c r="E183" s="662" t="str">
        <f>TEXT((LEFT(F183,3)-1),"000")&amp;"E"</f>
        <v>115E</v>
      </c>
      <c r="F183" s="662" t="str">
        <f>RIGHT(B183,3)&amp; "W"</f>
        <v>116W</v>
      </c>
      <c r="G183" s="663" t="s">
        <v>4725</v>
      </c>
      <c r="H183" s="633">
        <f t="shared" ref="H183" si="142">I183-1</f>
        <v>43631</v>
      </c>
      <c r="I183" s="633">
        <f>J183</f>
        <v>43632</v>
      </c>
      <c r="J183" s="660">
        <f>J182+7</f>
        <v>43632</v>
      </c>
      <c r="K183" s="583">
        <f t="shared" si="139"/>
        <v>43639</v>
      </c>
      <c r="L183" s="583">
        <f t="shared" si="140"/>
        <v>43641</v>
      </c>
      <c r="M183" s="583">
        <f t="shared" si="141"/>
        <v>43642</v>
      </c>
      <c r="N183" s="633"/>
      <c r="O183" s="642"/>
    </row>
    <row r="184" spans="1:19" s="290" customFormat="1" ht="19.899999999999999" customHeight="1">
      <c r="A184" s="649">
        <f>A183+1</f>
        <v>26</v>
      </c>
      <c r="B184" s="646" t="s">
        <v>4722</v>
      </c>
      <c r="C184" s="515" t="str">
        <f>VLOOKUP(LEFT(B184,3),'ships name'!A:C,2,FALSE)</f>
        <v>NORDPUMA</v>
      </c>
      <c r="D184" s="809" t="str">
        <f>VLOOKUP(C184,'ships name'!B:C,2,FALSE)</f>
        <v xml:space="preserve"> </v>
      </c>
      <c r="E184" s="662" t="str">
        <f>TEXT((LEFT(F184,3)-1),"000")&amp;"E"</f>
        <v>109E</v>
      </c>
      <c r="F184" s="662" t="str">
        <f>RIGHT(B184,3)&amp; "W"</f>
        <v>110W</v>
      </c>
      <c r="G184" s="663" t="s">
        <v>4726</v>
      </c>
      <c r="H184" s="633">
        <f t="shared" ref="H184" si="143">I184-1</f>
        <v>43638</v>
      </c>
      <c r="I184" s="633">
        <f>J184</f>
        <v>43639</v>
      </c>
      <c r="J184" s="660">
        <f>J183+7</f>
        <v>43639</v>
      </c>
      <c r="K184" s="583">
        <f t="shared" si="139"/>
        <v>43646</v>
      </c>
      <c r="L184" s="583">
        <f t="shared" si="140"/>
        <v>43648</v>
      </c>
      <c r="M184" s="583">
        <f t="shared" si="141"/>
        <v>43649</v>
      </c>
      <c r="N184" s="633"/>
      <c r="O184" s="642"/>
    </row>
    <row r="185" spans="1:19" s="290" customFormat="1" ht="19.899999999999999" customHeight="1" thickBot="1">
      <c r="A185" s="649">
        <f>A184+1</f>
        <v>27</v>
      </c>
      <c r="B185" s="669" t="s">
        <v>4723</v>
      </c>
      <c r="C185" s="606" t="str">
        <f>VLOOKUP(LEFT(B185,3),'ships name'!A:C,2,FALSE)</f>
        <v>BELAWAN</v>
      </c>
      <c r="D185" s="815" t="str">
        <f>VLOOKUP(C185,'ships name'!B:C,2,FALSE)</f>
        <v xml:space="preserve"> </v>
      </c>
      <c r="E185" s="670" t="str">
        <f>TEXT((LEFT(F185,3)-1),"000")&amp;"E"</f>
        <v>018E</v>
      </c>
      <c r="F185" s="670" t="str">
        <f>RIGHT(B185,3)&amp; "W"</f>
        <v>019W</v>
      </c>
      <c r="G185" s="671" t="s">
        <v>4727</v>
      </c>
      <c r="H185" s="647">
        <f t="shared" ref="H185" si="144">I185-1</f>
        <v>43645</v>
      </c>
      <c r="I185" s="647">
        <f>J185</f>
        <v>43646</v>
      </c>
      <c r="J185" s="682">
        <f>J184+7</f>
        <v>43646</v>
      </c>
      <c r="K185" s="583">
        <f t="shared" si="139"/>
        <v>43653</v>
      </c>
      <c r="L185" s="583">
        <f t="shared" si="140"/>
        <v>43655</v>
      </c>
      <c r="M185" s="583">
        <f t="shared" si="141"/>
        <v>43656</v>
      </c>
      <c r="N185" s="647"/>
      <c r="O185" s="643"/>
    </row>
    <row r="186" spans="1:19" s="103" customFormat="1" ht="25.9" customHeight="1" thickBot="1">
      <c r="A186" s="1150" t="s">
        <v>4470</v>
      </c>
      <c r="B186" s="1151"/>
      <c r="C186" s="1151"/>
      <c r="D186" s="985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258" t="s">
        <v>2</v>
      </c>
      <c r="L186" s="1259"/>
      <c r="M186" s="1259"/>
      <c r="N186" s="1259"/>
      <c r="O186" s="1260"/>
      <c r="P186" s="989"/>
      <c r="Q186" s="989"/>
      <c r="R186" s="989"/>
      <c r="S186" s="989"/>
    </row>
    <row r="187" spans="1:19" s="290" customFormat="1" ht="19.899999999999999" customHeight="1">
      <c r="A187" s="1261" t="s">
        <v>3</v>
      </c>
      <c r="B187" s="1152" t="s">
        <v>4</v>
      </c>
      <c r="C187" s="1152" t="s">
        <v>5</v>
      </c>
      <c r="D187" s="1153" t="s">
        <v>4291</v>
      </c>
      <c r="E187" s="1153" t="s">
        <v>6</v>
      </c>
      <c r="F187" s="1153"/>
      <c r="G187" s="1153"/>
      <c r="H187" s="984" t="s">
        <v>7</v>
      </c>
      <c r="I187" s="984" t="s">
        <v>8</v>
      </c>
      <c r="J187" s="360" t="s">
        <v>9</v>
      </c>
      <c r="K187" s="675" t="s">
        <v>4063</v>
      </c>
      <c r="L187" s="987" t="s">
        <v>3488</v>
      </c>
      <c r="M187" s="984"/>
      <c r="N187" s="987"/>
      <c r="O187" s="355"/>
    </row>
    <row r="188" spans="1:19" s="290" customFormat="1" ht="19.899999999999999" customHeight="1">
      <c r="A188" s="1262"/>
      <c r="B188" s="1119"/>
      <c r="C188" s="1119"/>
      <c r="D188" s="1097"/>
      <c r="E188" s="1097" t="s">
        <v>13</v>
      </c>
      <c r="F188" s="1097" t="s">
        <v>14</v>
      </c>
      <c r="G188" s="1097"/>
      <c r="H188" s="981" t="s">
        <v>15</v>
      </c>
      <c r="I188" s="981" t="s">
        <v>16</v>
      </c>
      <c r="J188" s="344" t="s">
        <v>17</v>
      </c>
      <c r="K188" s="410" t="s">
        <v>4065</v>
      </c>
      <c r="L188" s="981" t="s">
        <v>3491</v>
      </c>
      <c r="M188" s="981"/>
      <c r="N188" s="981"/>
      <c r="O188" s="412"/>
    </row>
    <row r="189" spans="1:19" s="290" customFormat="1" ht="19.899999999999999" customHeight="1" thickBot="1">
      <c r="A189" s="1263"/>
      <c r="B189" s="1120"/>
      <c r="C189" s="1120"/>
      <c r="D189" s="1098"/>
      <c r="E189" s="1098"/>
      <c r="F189" s="605" t="s">
        <v>4292</v>
      </c>
      <c r="G189" s="983" t="s">
        <v>4293</v>
      </c>
      <c r="H189" s="665" t="s">
        <v>4471</v>
      </c>
      <c r="I189" s="983" t="s">
        <v>219</v>
      </c>
      <c r="J189" s="636" t="s">
        <v>47</v>
      </c>
      <c r="K189" s="637"/>
      <c r="L189" s="982"/>
      <c r="M189" s="982"/>
      <c r="N189" s="982"/>
      <c r="O189" s="415"/>
    </row>
    <row r="190" spans="1:19" s="290" customFormat="1" ht="19.899999999999999" customHeight="1">
      <c r="A190" s="650">
        <v>23</v>
      </c>
      <c r="B190" s="587" t="s">
        <v>4565</v>
      </c>
      <c r="C190" s="479" t="str">
        <f>VLOOKUP(LEFT(B190,3),'ships name'!A:C,2,FALSE)</f>
        <v>NORDPUMA</v>
      </c>
      <c r="D190" s="986" t="str">
        <f>VLOOKUP(C190,'ships name'!B:C,2,FALSE)</f>
        <v xml:space="preserve"> </v>
      </c>
      <c r="E190" s="659" t="str">
        <f>TEXT((LEFT(F190,3)-1),"000")&amp;"E"</f>
        <v>103E</v>
      </c>
      <c r="F190" s="659" t="str">
        <f>RIGHT(B190,3)&amp; "W"</f>
        <v>104W</v>
      </c>
      <c r="G190" s="489" t="s">
        <v>4568</v>
      </c>
      <c r="H190" s="583">
        <f>I190-1</f>
        <v>43618</v>
      </c>
      <c r="I190" s="583">
        <f>J190</f>
        <v>43619</v>
      </c>
      <c r="J190" s="681">
        <v>43619</v>
      </c>
      <c r="K190" s="585">
        <f>J190+7</f>
        <v>43626</v>
      </c>
      <c r="L190" s="583">
        <f>J190+12</f>
        <v>43631</v>
      </c>
      <c r="M190" s="583"/>
      <c r="N190" s="583"/>
      <c r="O190" s="586"/>
    </row>
    <row r="191" spans="1:19" s="290" customFormat="1" ht="19.899999999999999" customHeight="1">
      <c r="A191" s="649">
        <f>A190+1</f>
        <v>24</v>
      </c>
      <c r="B191" s="646" t="s">
        <v>4566</v>
      </c>
      <c r="C191" s="515" t="str">
        <f>VLOOKUP(LEFT(B191,3),'ships name'!A:C,2,FALSE)</f>
        <v>BELAWAN</v>
      </c>
      <c r="D191" s="986" t="str">
        <f>VLOOKUP(C191,'ships name'!B:C,2,FALSE)</f>
        <v xml:space="preserve"> </v>
      </c>
      <c r="E191" s="662" t="str">
        <f>TEXT((LEFT(F191,3)-1),"000")&amp;"E"</f>
        <v>012E</v>
      </c>
      <c r="F191" s="662" t="str">
        <f>RIGHT(B191,3)&amp; "W"</f>
        <v>013W</v>
      </c>
      <c r="G191" s="663" t="s">
        <v>4729</v>
      </c>
      <c r="H191" s="633">
        <f t="shared" ref="H191:H194" si="145">I191-1</f>
        <v>43625</v>
      </c>
      <c r="I191" s="633">
        <f>J191</f>
        <v>43626</v>
      </c>
      <c r="J191" s="660">
        <f>J190+7</f>
        <v>43626</v>
      </c>
      <c r="K191" s="585">
        <f t="shared" ref="K191:K194" si="146">J191+7</f>
        <v>43633</v>
      </c>
      <c r="L191" s="583">
        <f t="shared" ref="L191:L194" si="147">J191+12</f>
        <v>43638</v>
      </c>
      <c r="M191" s="633"/>
      <c r="N191" s="633"/>
      <c r="O191" s="642"/>
    </row>
    <row r="192" spans="1:19" s="290" customFormat="1" ht="19.899999999999999" customHeight="1">
      <c r="A192" s="649">
        <f>A191+1</f>
        <v>25</v>
      </c>
      <c r="B192" s="646" t="s">
        <v>4728</v>
      </c>
      <c r="C192" s="515" t="str">
        <f>VLOOKUP(LEFT(B192,3),'ships name'!A:C,2,FALSE)</f>
        <v>HORAI BRIDGE</v>
      </c>
      <c r="D192" s="986" t="str">
        <f>VLOOKUP(C192,'ships name'!B:C,2,FALSE)</f>
        <v xml:space="preserve"> </v>
      </c>
      <c r="E192" s="662" t="str">
        <f>TEXT((LEFT(F192,3)-1),"000")&amp;"E"</f>
        <v>007E</v>
      </c>
      <c r="F192" s="662" t="str">
        <f>RIGHT(B192,3)&amp; "W"</f>
        <v>008W</v>
      </c>
      <c r="G192" s="663" t="s">
        <v>4730</v>
      </c>
      <c r="H192" s="633">
        <f t="shared" si="145"/>
        <v>43632</v>
      </c>
      <c r="I192" s="633">
        <f>J192</f>
        <v>43633</v>
      </c>
      <c r="J192" s="660">
        <f>J191+7</f>
        <v>43633</v>
      </c>
      <c r="K192" s="585">
        <f t="shared" si="146"/>
        <v>43640</v>
      </c>
      <c r="L192" s="583">
        <f t="shared" si="147"/>
        <v>43645</v>
      </c>
      <c r="M192" s="633"/>
      <c r="N192" s="633"/>
      <c r="O192" s="642"/>
    </row>
    <row r="193" spans="1:19" s="290" customFormat="1" ht="19.899999999999999" customHeight="1">
      <c r="A193" s="649">
        <f>A192+1</f>
        <v>26</v>
      </c>
      <c r="B193" s="646" t="s">
        <v>4567</v>
      </c>
      <c r="C193" s="515" t="str">
        <f>VLOOKUP(LEFT(B193,3),'ships name'!A:C,2,FALSE)</f>
        <v>OPHELIA</v>
      </c>
      <c r="D193" s="986" t="str">
        <f>VLOOKUP(C193,'ships name'!B:C,2,FALSE)</f>
        <v xml:space="preserve"> </v>
      </c>
      <c r="E193" s="662" t="str">
        <f>TEXT((LEFT(F193,3)-1),"000")&amp;"E"</f>
        <v>373E</v>
      </c>
      <c r="F193" s="662" t="str">
        <f>RIGHT(B193,3)&amp; "W"</f>
        <v>374W</v>
      </c>
      <c r="G193" s="663" t="s">
        <v>4731</v>
      </c>
      <c r="H193" s="633">
        <f t="shared" si="145"/>
        <v>43639</v>
      </c>
      <c r="I193" s="633">
        <f>J193</f>
        <v>43640</v>
      </c>
      <c r="J193" s="660">
        <f>J192+7</f>
        <v>43640</v>
      </c>
      <c r="K193" s="585">
        <f t="shared" si="146"/>
        <v>43647</v>
      </c>
      <c r="L193" s="583">
        <f t="shared" si="147"/>
        <v>43652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27</v>
      </c>
      <c r="B194" s="669" t="s">
        <v>4720</v>
      </c>
      <c r="C194" s="606" t="str">
        <f>VLOOKUP(LEFT(B194,3),'ships name'!A:C,2,FALSE)</f>
        <v>MOUNT NICHOLSON</v>
      </c>
      <c r="D194" s="988" t="str">
        <f>VLOOKUP(C194,'ships name'!B:C,2,FALSE)</f>
        <v xml:space="preserve"> </v>
      </c>
      <c r="E194" s="670" t="str">
        <f>TEXT((LEFT(F194,3)-1),"000")&amp;"E"</f>
        <v>110E</v>
      </c>
      <c r="F194" s="670" t="str">
        <f>RIGHT(B194,3)&amp; "W"</f>
        <v>111W</v>
      </c>
      <c r="G194" s="671" t="s">
        <v>4732</v>
      </c>
      <c r="H194" s="647">
        <f t="shared" si="145"/>
        <v>43646</v>
      </c>
      <c r="I194" s="647">
        <f>J194</f>
        <v>43647</v>
      </c>
      <c r="J194" s="682">
        <f>J193+7</f>
        <v>43647</v>
      </c>
      <c r="K194" s="585">
        <f t="shared" si="146"/>
        <v>43654</v>
      </c>
      <c r="L194" s="583">
        <f t="shared" si="147"/>
        <v>43659</v>
      </c>
      <c r="M194" s="647"/>
      <c r="N194" s="647"/>
      <c r="O194" s="643"/>
    </row>
    <row r="195" spans="1:19" s="103" customFormat="1" ht="25.9" hidden="1" customHeight="1" thickBot="1">
      <c r="A195" s="789" t="s">
        <v>4453</v>
      </c>
      <c r="B195" s="673"/>
      <c r="C195" s="673"/>
      <c r="D195" s="974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258" t="s">
        <v>2</v>
      </c>
      <c r="L195" s="1259"/>
      <c r="M195" s="1259"/>
      <c r="N195" s="1259"/>
      <c r="O195" s="1260"/>
      <c r="P195" s="979"/>
      <c r="Q195" s="979"/>
      <c r="R195" s="979"/>
      <c r="S195" s="979"/>
    </row>
    <row r="196" spans="1:19" s="290" customFormat="1" ht="19.899999999999999" hidden="1" customHeight="1">
      <c r="A196" s="1261" t="s">
        <v>3</v>
      </c>
      <c r="B196" s="1152" t="s">
        <v>4</v>
      </c>
      <c r="C196" s="1152" t="s">
        <v>5</v>
      </c>
      <c r="D196" s="1153" t="s">
        <v>4291</v>
      </c>
      <c r="E196" s="1153" t="s">
        <v>6</v>
      </c>
      <c r="F196" s="1153"/>
      <c r="G196" s="1153"/>
      <c r="H196" s="975" t="s">
        <v>7</v>
      </c>
      <c r="I196" s="975" t="s">
        <v>8</v>
      </c>
      <c r="J196" s="360" t="s">
        <v>9</v>
      </c>
      <c r="K196" s="675" t="s">
        <v>3316</v>
      </c>
      <c r="L196" s="977" t="s">
        <v>4461</v>
      </c>
      <c r="M196" s="975"/>
      <c r="N196" s="977"/>
      <c r="O196" s="355"/>
    </row>
    <row r="197" spans="1:19" s="290" customFormat="1" ht="19.899999999999999" hidden="1" customHeight="1">
      <c r="A197" s="1262"/>
      <c r="B197" s="1119"/>
      <c r="C197" s="1119"/>
      <c r="D197" s="1097"/>
      <c r="E197" s="1097" t="s">
        <v>13</v>
      </c>
      <c r="F197" s="1097" t="s">
        <v>14</v>
      </c>
      <c r="G197" s="1097"/>
      <c r="H197" s="971" t="s">
        <v>15</v>
      </c>
      <c r="I197" s="971" t="s">
        <v>16</v>
      </c>
      <c r="J197" s="344" t="s">
        <v>17</v>
      </c>
      <c r="K197" s="410" t="s">
        <v>144</v>
      </c>
      <c r="L197" s="971" t="s">
        <v>4462</v>
      </c>
      <c r="M197" s="971"/>
      <c r="N197" s="971"/>
      <c r="O197" s="412"/>
    </row>
    <row r="198" spans="1:19" s="290" customFormat="1" ht="19.899999999999999" hidden="1" customHeight="1" thickBot="1">
      <c r="A198" s="1263"/>
      <c r="B198" s="1120"/>
      <c r="C198" s="1120"/>
      <c r="D198" s="1098"/>
      <c r="E198" s="1098"/>
      <c r="F198" s="605" t="s">
        <v>4292</v>
      </c>
      <c r="G198" s="973" t="s">
        <v>4293</v>
      </c>
      <c r="H198" s="665" t="s">
        <v>4454</v>
      </c>
      <c r="I198" s="973" t="s">
        <v>47</v>
      </c>
      <c r="J198" s="636" t="s">
        <v>126</v>
      </c>
      <c r="K198" s="637"/>
      <c r="L198" s="972"/>
      <c r="M198" s="972"/>
      <c r="N198" s="972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4495</v>
      </c>
      <c r="D199" s="976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4458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6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4459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4455</v>
      </c>
      <c r="C201" s="515" t="str">
        <f>VLOOKUP(LEFT(B201,3),'ships name'!A:C,2,FALSE)</f>
        <v>YM KEELUNG</v>
      </c>
      <c r="D201" s="976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4460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4496</v>
      </c>
      <c r="C202" s="515" t="str">
        <f>VLOOKUP(LEFT(B202,3),'ships name'!A:C,2,FALSE)</f>
        <v>ZIM KINGSTON</v>
      </c>
      <c r="D202" s="976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4493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8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4494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zoomScale="85" zoomScaleNormal="85" workbookViewId="0">
      <selection activeCell="J13" sqref="J13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8" t="s">
        <v>0</v>
      </c>
      <c r="B2" s="1278"/>
      <c r="C2" s="1278"/>
      <c r="D2" s="1278"/>
      <c r="E2" s="1278"/>
      <c r="F2" s="1278"/>
      <c r="G2" s="1278"/>
      <c r="H2" s="1278"/>
      <c r="I2" s="1278"/>
      <c r="J2" s="1278"/>
      <c r="K2" s="1278"/>
      <c r="L2" s="1278"/>
      <c r="M2" s="1278"/>
      <c r="N2" s="1278"/>
      <c r="O2" s="1278"/>
      <c r="P2" s="1278"/>
    </row>
    <row r="3" spans="1:20" ht="28.15" customHeight="1">
      <c r="A3" s="1122"/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  <c r="P3" s="1122"/>
    </row>
    <row r="4" spans="1:20" ht="28.15" customHeight="1">
      <c r="A4" s="1279" t="str">
        <f>IA!A4</f>
        <v>2019年06月船期表</v>
      </c>
      <c r="B4" s="1279"/>
      <c r="C4" s="1279"/>
      <c r="D4" s="1279"/>
      <c r="E4" s="1279"/>
      <c r="F4" s="1279"/>
      <c r="G4" s="1279"/>
      <c r="H4" s="1279"/>
      <c r="I4" s="1279"/>
      <c r="J4" s="1279"/>
      <c r="K4" s="1279"/>
      <c r="L4" s="1279"/>
      <c r="M4" s="1279"/>
      <c r="N4" s="1279"/>
      <c r="O4" s="1279"/>
      <c r="P4" s="1279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76" t="s">
        <v>3923</v>
      </c>
      <c r="B8" s="1277"/>
      <c r="C8" s="1277"/>
      <c r="D8" s="528"/>
      <c r="E8" s="1268" t="s">
        <v>262</v>
      </c>
      <c r="F8" s="1268"/>
      <c r="G8" s="529"/>
      <c r="H8" s="226" t="s">
        <v>490</v>
      </c>
      <c r="I8" s="226" t="s">
        <v>75</v>
      </c>
      <c r="J8" s="226" t="s">
        <v>493</v>
      </c>
      <c r="K8" s="1265" t="s">
        <v>2</v>
      </c>
      <c r="L8" s="1266"/>
      <c r="M8" s="1266"/>
      <c r="N8" s="1266"/>
      <c r="O8" s="1267"/>
      <c r="T8" s="276"/>
    </row>
    <row r="9" spans="1:20" s="103" customFormat="1" ht="19.899999999999999" customHeight="1">
      <c r="A9" s="1274" t="s">
        <v>3</v>
      </c>
      <c r="B9" s="1271" t="s">
        <v>4</v>
      </c>
      <c r="C9" s="1271" t="s">
        <v>5</v>
      </c>
      <c r="D9" s="1153" t="s">
        <v>4291</v>
      </c>
      <c r="E9" s="1154" t="s">
        <v>6</v>
      </c>
      <c r="F9" s="1155"/>
      <c r="G9" s="1156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74"/>
      <c r="B10" s="1271"/>
      <c r="C10" s="1271"/>
      <c r="D10" s="1097"/>
      <c r="E10" s="1097" t="s">
        <v>13</v>
      </c>
      <c r="F10" s="1099" t="s">
        <v>14</v>
      </c>
      <c r="G10" s="1100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75"/>
      <c r="B11" s="1272"/>
      <c r="C11" s="1272"/>
      <c r="D11" s="1243"/>
      <c r="E11" s="1098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23</v>
      </c>
      <c r="B12" s="715" t="s">
        <v>4733</v>
      </c>
      <c r="C12" s="531" t="str">
        <f>VLOOKUP(LEFT(B12,3),'ships name'!A:C,2,FALSE)</f>
        <v>CMA CGM OHIO</v>
      </c>
      <c r="D12" s="812" t="str">
        <f>VLOOKUP(C12,'ships name'!B:C,2,FALSE)</f>
        <v>达飞俄亥俄州</v>
      </c>
      <c r="E12" s="710" t="str">
        <f>F12</f>
        <v>0JX2PE</v>
      </c>
      <c r="F12" s="710" t="str">
        <f>LEFT(G12,6)</f>
        <v>0JX2PE</v>
      </c>
      <c r="G12" s="710" t="s">
        <v>4737</v>
      </c>
      <c r="H12" s="710">
        <f>J12-2</f>
        <v>43619</v>
      </c>
      <c r="I12" s="710">
        <f>J12-1</f>
        <v>43620</v>
      </c>
      <c r="J12" s="710">
        <v>43621</v>
      </c>
      <c r="K12" s="710">
        <f>J12+21</f>
        <v>43642</v>
      </c>
      <c r="L12" s="710">
        <f>J12+22</f>
        <v>43643</v>
      </c>
      <c r="M12" s="710">
        <f>J12+27</f>
        <v>43648</v>
      </c>
      <c r="N12" s="710">
        <f>J12+32</f>
        <v>43653</v>
      </c>
      <c r="O12" s="710">
        <f>J12+35</f>
        <v>43656</v>
      </c>
    </row>
    <row r="13" spans="1:20" s="103" customFormat="1" ht="19.899999999999999" customHeight="1">
      <c r="A13" s="617">
        <f>A12+1</f>
        <v>24</v>
      </c>
      <c r="B13" s="732" t="s">
        <v>4925</v>
      </c>
      <c r="C13" s="538" t="str">
        <f>VLOOKUP(LEFT(B13,3),'ships name'!A:C,2,FALSE)</f>
        <v>CMA CGM LISA MARIE</v>
      </c>
      <c r="D13" s="809" t="str">
        <f>VLOOKUP(C13,'ships name'!B:C,2,FALSE)</f>
        <v xml:space="preserve"> </v>
      </c>
      <c r="E13" s="710" t="str">
        <f t="shared" ref="E13:E16" si="0">F13</f>
        <v>0JXS7E</v>
      </c>
      <c r="F13" s="710" t="str">
        <f t="shared" ref="F13:F16" si="1">LEFT(G13,6)</f>
        <v>0JXS7E</v>
      </c>
      <c r="G13" s="716" t="s">
        <v>4931</v>
      </c>
      <c r="H13" s="716">
        <f t="shared" ref="H13" si="2">J13-2</f>
        <v>43626</v>
      </c>
      <c r="I13" s="716">
        <f t="shared" ref="I13" si="3">J13-1</f>
        <v>43627</v>
      </c>
      <c r="J13" s="716">
        <f>J12+7</f>
        <v>43628</v>
      </c>
      <c r="K13" s="710">
        <f t="shared" ref="K13:K16" si="4">J13+21</f>
        <v>43649</v>
      </c>
      <c r="L13" s="710">
        <f t="shared" ref="L13:L16" si="5">J13+22</f>
        <v>43650</v>
      </c>
      <c r="M13" s="710">
        <f t="shared" ref="M13:M16" si="6">J13+27</f>
        <v>43655</v>
      </c>
      <c r="N13" s="710">
        <f t="shared" ref="N13:N16" si="7">J13+32</f>
        <v>43660</v>
      </c>
      <c r="O13" s="710">
        <f t="shared" ref="O13:O16" si="8">J13+35</f>
        <v>43663</v>
      </c>
    </row>
    <row r="14" spans="1:20" s="103" customFormat="1" ht="19.899999999999999" customHeight="1">
      <c r="A14" s="617">
        <f>A13+1</f>
        <v>25</v>
      </c>
      <c r="B14" s="732" t="s">
        <v>4734</v>
      </c>
      <c r="C14" s="538" t="str">
        <f>VLOOKUP(LEFT(B14,3),'ships name'!A:C,2,FALSE)</f>
        <v>CMA CGM CALCUTTA</v>
      </c>
      <c r="D14" s="809" t="str">
        <f>VLOOKUP(C14,'ships name'!B:C,2,FALSE)</f>
        <v>美总新加尔各答</v>
      </c>
      <c r="E14" s="710" t="str">
        <f t="shared" si="0"/>
        <v>0JX2TE</v>
      </c>
      <c r="F14" s="710" t="str">
        <f t="shared" si="1"/>
        <v>0JX2TE</v>
      </c>
      <c r="G14" s="716" t="s">
        <v>4738</v>
      </c>
      <c r="H14" s="716">
        <f t="shared" ref="H14" si="9">J14-2</f>
        <v>43633</v>
      </c>
      <c r="I14" s="716">
        <f t="shared" ref="I14" si="10">J14-1</f>
        <v>43634</v>
      </c>
      <c r="J14" s="716">
        <f>J13+7</f>
        <v>43635</v>
      </c>
      <c r="K14" s="710">
        <f t="shared" si="4"/>
        <v>43656</v>
      </c>
      <c r="L14" s="710">
        <f t="shared" si="5"/>
        <v>43657</v>
      </c>
      <c r="M14" s="710">
        <f t="shared" si="6"/>
        <v>43662</v>
      </c>
      <c r="N14" s="710">
        <f t="shared" si="7"/>
        <v>43667</v>
      </c>
      <c r="O14" s="710">
        <f t="shared" si="8"/>
        <v>43670</v>
      </c>
    </row>
    <row r="15" spans="1:20" s="103" customFormat="1" ht="19.899999999999999" customHeight="1">
      <c r="A15" s="617">
        <f>A14+1</f>
        <v>26</v>
      </c>
      <c r="B15" s="732" t="s">
        <v>4735</v>
      </c>
      <c r="C15" s="538" t="str">
        <f>VLOOKUP(LEFT(B15,3),'ships name'!A:C,2,FALSE)</f>
        <v>CMA CGM MUNDRA</v>
      </c>
      <c r="D15" s="809" t="str">
        <f>VLOOKUP(C15,'ships name'!B:C,2,FALSE)</f>
        <v xml:space="preserve"> </v>
      </c>
      <c r="E15" s="710" t="str">
        <f t="shared" si="0"/>
        <v>0JX2VE</v>
      </c>
      <c r="F15" s="710" t="str">
        <f t="shared" si="1"/>
        <v>0JX2VE</v>
      </c>
      <c r="G15" s="716" t="s">
        <v>4739</v>
      </c>
      <c r="H15" s="716">
        <f t="shared" ref="H15" si="11">J15-2</f>
        <v>43640</v>
      </c>
      <c r="I15" s="716">
        <f t="shared" ref="I15" si="12">J15-1</f>
        <v>43641</v>
      </c>
      <c r="J15" s="716">
        <f>J14+7</f>
        <v>43642</v>
      </c>
      <c r="K15" s="710">
        <f t="shared" si="4"/>
        <v>43663</v>
      </c>
      <c r="L15" s="710">
        <f t="shared" si="5"/>
        <v>43664</v>
      </c>
      <c r="M15" s="710">
        <f t="shared" si="6"/>
        <v>43669</v>
      </c>
      <c r="N15" s="710">
        <f t="shared" si="7"/>
        <v>43674</v>
      </c>
      <c r="O15" s="710">
        <f t="shared" si="8"/>
        <v>43677</v>
      </c>
    </row>
    <row r="16" spans="1:20" s="103" customFormat="1" ht="19.899999999999999" customHeight="1">
      <c r="A16" s="617">
        <f>A15+1</f>
        <v>27</v>
      </c>
      <c r="B16" s="732" t="s">
        <v>4736</v>
      </c>
      <c r="C16" s="538" t="str">
        <f>VLOOKUP(LEFT(B16,3),'ships name'!A:C,2,FALSE)</f>
        <v>CMA CGM ESTELLE</v>
      </c>
      <c r="D16" s="809" t="str">
        <f>VLOOKUP(C16,'ships name'!B:C,2,FALSE)</f>
        <v>美总埃斯特尔</v>
      </c>
      <c r="E16" s="710" t="str">
        <f t="shared" si="0"/>
        <v>0JX2XE</v>
      </c>
      <c r="F16" s="710" t="str">
        <f t="shared" si="1"/>
        <v>0JX2XE</v>
      </c>
      <c r="G16" s="716" t="s">
        <v>4740</v>
      </c>
      <c r="H16" s="716">
        <f t="shared" ref="H16" si="13">J16-2</f>
        <v>43647</v>
      </c>
      <c r="I16" s="716">
        <f t="shared" ref="I16" si="14">J16-1</f>
        <v>43648</v>
      </c>
      <c r="J16" s="716">
        <f>J15+7</f>
        <v>43649</v>
      </c>
      <c r="K16" s="710">
        <f t="shared" si="4"/>
        <v>43670</v>
      </c>
      <c r="L16" s="710">
        <f t="shared" si="5"/>
        <v>43671</v>
      </c>
      <c r="M16" s="710">
        <f t="shared" si="6"/>
        <v>43676</v>
      </c>
      <c r="N16" s="710">
        <f t="shared" si="7"/>
        <v>43681</v>
      </c>
      <c r="O16" s="710">
        <f t="shared" si="8"/>
        <v>43684</v>
      </c>
    </row>
    <row r="17" spans="1:20" ht="21.75" customHeight="1" thickBot="1">
      <c r="B17" s="429"/>
    </row>
    <row r="18" spans="1:20" s="100" customFormat="1" ht="25.9" customHeight="1" thickBot="1">
      <c r="A18" s="1276" t="s">
        <v>3922</v>
      </c>
      <c r="B18" s="1277"/>
      <c r="C18" s="1277"/>
      <c r="D18" s="528"/>
      <c r="E18" s="1268" t="s">
        <v>262</v>
      </c>
      <c r="F18" s="1268"/>
      <c r="G18" s="529"/>
      <c r="H18" s="226" t="s">
        <v>3080</v>
      </c>
      <c r="I18" s="226" t="s">
        <v>75</v>
      </c>
      <c r="J18" s="226" t="s">
        <v>493</v>
      </c>
      <c r="K18" s="1265" t="s">
        <v>2</v>
      </c>
      <c r="L18" s="1266"/>
      <c r="M18" s="1266"/>
      <c r="N18" s="1266"/>
      <c r="O18" s="1267"/>
      <c r="T18" s="276"/>
    </row>
    <row r="19" spans="1:20" s="103" customFormat="1" ht="19.899999999999999" customHeight="1">
      <c r="A19" s="1274" t="s">
        <v>3</v>
      </c>
      <c r="B19" s="1271" t="s">
        <v>4</v>
      </c>
      <c r="C19" s="1271" t="s">
        <v>5</v>
      </c>
      <c r="D19" s="1153" t="s">
        <v>4291</v>
      </c>
      <c r="E19" s="1154" t="s">
        <v>6</v>
      </c>
      <c r="F19" s="1155"/>
      <c r="G19" s="1156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74"/>
      <c r="B20" s="1271"/>
      <c r="C20" s="1271"/>
      <c r="D20" s="1097"/>
      <c r="E20" s="1097" t="s">
        <v>13</v>
      </c>
      <c r="F20" s="1099" t="s">
        <v>14</v>
      </c>
      <c r="G20" s="1100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75"/>
      <c r="B21" s="1272"/>
      <c r="C21" s="1272"/>
      <c r="D21" s="1098"/>
      <c r="E21" s="1098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23</v>
      </c>
      <c r="B22" s="715" t="s">
        <v>4536</v>
      </c>
      <c r="C22" s="531" t="str">
        <f>VLOOKUP(LEFT(B22,3),'ships name'!A:C,2,FALSE)</f>
        <v>MEDITERRANEAN BRIDGE</v>
      </c>
      <c r="D22" s="812" t="str">
        <f>VLOOKUP(C22,'ships name'!B:C,2,FALSE)</f>
        <v xml:space="preserve"> </v>
      </c>
      <c r="E22" s="710" t="str">
        <f>LEFT(F22,3)-1&amp;"W"</f>
        <v>4W</v>
      </c>
      <c r="F22" s="722" t="str">
        <f>RIGHT(B22,3)&amp;"E"</f>
        <v>005E</v>
      </c>
      <c r="G22" s="722" t="s">
        <v>4537</v>
      </c>
      <c r="H22" s="710">
        <f>J22-2</f>
        <v>43616</v>
      </c>
      <c r="I22" s="710">
        <f>J22-1</f>
        <v>43617</v>
      </c>
      <c r="J22" s="710">
        <v>43618</v>
      </c>
      <c r="K22" s="710">
        <f>J22+18</f>
        <v>43636</v>
      </c>
      <c r="L22" s="710">
        <f>J22+27</f>
        <v>43645</v>
      </c>
      <c r="M22" s="710">
        <f>J22+31</f>
        <v>43649</v>
      </c>
      <c r="N22" s="710">
        <f>J22+36</f>
        <v>43654</v>
      </c>
      <c r="O22" s="710"/>
    </row>
    <row r="23" spans="1:20" s="103" customFormat="1" ht="19.899999999999999" customHeight="1">
      <c r="A23" s="617">
        <f>A22+1</f>
        <v>24</v>
      </c>
      <c r="B23" s="732" t="s">
        <v>4741</v>
      </c>
      <c r="C23" s="538" t="str">
        <f>VLOOKUP(LEFT(B23,3),'ships name'!A:C,2,FALSE)</f>
        <v>LLOYD DON GIOVANNI</v>
      </c>
      <c r="D23" s="809" t="str">
        <f>VLOOKUP(C23,'ships name'!B:C,2,FALSE)</f>
        <v>劳埃德乔凡尼</v>
      </c>
      <c r="E23" s="716" t="e">
        <f t="shared" ref="E23" si="15">LEFT(F23,3)-1&amp;"W"</f>
        <v>#VALUE!</v>
      </c>
      <c r="F23" s="732" t="str">
        <f t="shared" ref="F23" si="16">RIGHT(B23,3)&amp;"E"</f>
        <v>TBAE</v>
      </c>
      <c r="G23" s="732" t="s">
        <v>4745</v>
      </c>
      <c r="H23" s="716">
        <f t="shared" ref="H23" si="17">J23-2</f>
        <v>43623</v>
      </c>
      <c r="I23" s="716">
        <f t="shared" ref="I23" si="18">J23-1</f>
        <v>43624</v>
      </c>
      <c r="J23" s="716">
        <f>J22+7</f>
        <v>43625</v>
      </c>
      <c r="K23" s="716">
        <f t="shared" ref="K23" si="19">J23+18</f>
        <v>43643</v>
      </c>
      <c r="L23" s="716">
        <f t="shared" ref="L23" si="20">J23+27</f>
        <v>43652</v>
      </c>
      <c r="M23" s="716">
        <f t="shared" ref="M23" si="21">J23+31</f>
        <v>43656</v>
      </c>
      <c r="N23" s="716">
        <f t="shared" ref="N23" si="22">J23+36</f>
        <v>43661</v>
      </c>
      <c r="O23" s="716"/>
    </row>
    <row r="24" spans="1:20" s="103" customFormat="1" ht="19.899999999999999" customHeight="1">
      <c r="A24" s="617">
        <f>A23+1</f>
        <v>25</v>
      </c>
      <c r="B24" s="732" t="s">
        <v>4742</v>
      </c>
      <c r="C24" s="538" t="str">
        <f>VLOOKUP(LEFT(B24,3),'ships name'!A:C,2,FALSE)</f>
        <v>NORTHERN JUPITER</v>
      </c>
      <c r="D24" s="809" t="str">
        <f>VLOOKUP(C24,'ships name'!B:C,2,FALSE)</f>
        <v xml:space="preserve">诺斯朱庇特 </v>
      </c>
      <c r="E24" s="716" t="str">
        <f t="shared" ref="E24" si="23">LEFT(F24,3)-1&amp;"W"</f>
        <v>15W</v>
      </c>
      <c r="F24" s="731" t="str">
        <f t="shared" ref="F24" si="24">RIGHT(B24,3)&amp;"E"</f>
        <v>016E</v>
      </c>
      <c r="G24" s="731" t="s">
        <v>4746</v>
      </c>
      <c r="H24" s="716">
        <f t="shared" ref="H24" si="25">J24-2</f>
        <v>43630</v>
      </c>
      <c r="I24" s="716">
        <f t="shared" ref="I24" si="26">J24-1</f>
        <v>43631</v>
      </c>
      <c r="J24" s="716">
        <f>J23+7</f>
        <v>43632</v>
      </c>
      <c r="K24" s="716">
        <f t="shared" ref="K24" si="27">J24+18</f>
        <v>43650</v>
      </c>
      <c r="L24" s="716">
        <f t="shared" ref="L24" si="28">J24+27</f>
        <v>43659</v>
      </c>
      <c r="M24" s="716">
        <f t="shared" ref="M24" si="29">J24+31</f>
        <v>43663</v>
      </c>
      <c r="N24" s="716">
        <f t="shared" ref="N24" si="30">J24+36</f>
        <v>43668</v>
      </c>
      <c r="O24" s="716"/>
    </row>
    <row r="25" spans="1:20" s="103" customFormat="1" ht="19.899999999999999" customHeight="1">
      <c r="A25" s="617">
        <f>A24+1</f>
        <v>26</v>
      </c>
      <c r="B25" s="732" t="s">
        <v>4743</v>
      </c>
      <c r="C25" s="538" t="str">
        <f>VLOOKUP(LEFT(B25,3),'ships name'!A:C,2,FALSE)</f>
        <v>EVER UNITED</v>
      </c>
      <c r="D25" s="809" t="str">
        <f>VLOOKUP(C25,'ships name'!B:C,2,FALSE)</f>
        <v xml:space="preserve"> </v>
      </c>
      <c r="E25" s="716" t="str">
        <f>TEXT(LEFT(F25,3)-1,"000")&amp;"W"</f>
        <v>168W</v>
      </c>
      <c r="F25" s="732" t="str">
        <f t="shared" ref="F25" si="31">RIGHT(B25,3)&amp;"E"</f>
        <v>169E</v>
      </c>
      <c r="G25" s="732" t="s">
        <v>4747</v>
      </c>
      <c r="H25" s="716">
        <f t="shared" ref="H25" si="32">J25-2</f>
        <v>43637</v>
      </c>
      <c r="I25" s="716">
        <f t="shared" ref="I25" si="33">J25-1</f>
        <v>43638</v>
      </c>
      <c r="J25" s="716">
        <f>J24+7</f>
        <v>43639</v>
      </c>
      <c r="K25" s="716">
        <f t="shared" ref="K25" si="34">J25+18</f>
        <v>43657</v>
      </c>
      <c r="L25" s="716">
        <f t="shared" ref="L25" si="35">J25+27</f>
        <v>43666</v>
      </c>
      <c r="M25" s="716">
        <f t="shared" ref="M25" si="36">J25+31</f>
        <v>43670</v>
      </c>
      <c r="N25" s="716">
        <f t="shared" ref="N25" si="37">J25+36</f>
        <v>43675</v>
      </c>
      <c r="O25" s="716"/>
    </row>
    <row r="26" spans="1:20" s="103" customFormat="1" ht="19.899999999999999" customHeight="1">
      <c r="A26" s="617">
        <f>A25+1</f>
        <v>27</v>
      </c>
      <c r="B26" s="732" t="s">
        <v>4744</v>
      </c>
      <c r="C26" s="538" t="str">
        <f>VLOOKUP(LEFT(B26,3),'ships name'!A:C,2,FALSE)</f>
        <v>TIAN CHANG HE</v>
      </c>
      <c r="D26" s="809" t="str">
        <f>VLOOKUP(C26,'ships name'!B:C,2,FALSE)</f>
        <v xml:space="preserve"> </v>
      </c>
      <c r="E26" s="716" t="str">
        <f>TEXT(LEFT(F26,3)-1,"000")&amp;"W"</f>
        <v>032W</v>
      </c>
      <c r="F26" s="732" t="str">
        <f t="shared" ref="F26" si="38">RIGHT(B26,3)&amp;"E"</f>
        <v>033E</v>
      </c>
      <c r="G26" s="732" t="s">
        <v>4748</v>
      </c>
      <c r="H26" s="716">
        <f t="shared" ref="H26" si="39">J26-2</f>
        <v>43644</v>
      </c>
      <c r="I26" s="716">
        <f t="shared" ref="I26" si="40">J26-1</f>
        <v>43645</v>
      </c>
      <c r="J26" s="716">
        <f>J25+7</f>
        <v>43646</v>
      </c>
      <c r="K26" s="716">
        <f t="shared" ref="K26" si="41">J26+18</f>
        <v>43664</v>
      </c>
      <c r="L26" s="716">
        <f t="shared" ref="L26" si="42">J26+27</f>
        <v>43673</v>
      </c>
      <c r="M26" s="716">
        <f t="shared" ref="M26" si="43">J26+31</f>
        <v>43677</v>
      </c>
      <c r="N26" s="716">
        <f t="shared" ref="N26" si="44">J26+36</f>
        <v>43682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76" t="s">
        <v>3925</v>
      </c>
      <c r="B28" s="1277"/>
      <c r="C28" s="1277"/>
      <c r="D28" s="528"/>
      <c r="E28" s="1268" t="s">
        <v>262</v>
      </c>
      <c r="F28" s="1268"/>
      <c r="G28" s="529"/>
      <c r="H28" s="226" t="s">
        <v>29</v>
      </c>
      <c r="I28" s="226" t="s">
        <v>75</v>
      </c>
      <c r="J28" s="226" t="s">
        <v>29</v>
      </c>
      <c r="K28" s="1265" t="s">
        <v>2</v>
      </c>
      <c r="L28" s="1266"/>
      <c r="M28" s="1266"/>
      <c r="N28" s="1266"/>
      <c r="O28" s="1266"/>
      <c r="P28" s="1267"/>
      <c r="T28" s="276"/>
    </row>
    <row r="29" spans="1:20" s="103" customFormat="1" ht="19.899999999999999" hidden="1" customHeight="1">
      <c r="A29" s="1274" t="s">
        <v>3</v>
      </c>
      <c r="B29" s="1271" t="s">
        <v>4</v>
      </c>
      <c r="C29" s="1271" t="s">
        <v>5</v>
      </c>
      <c r="D29" s="1153" t="s">
        <v>4291</v>
      </c>
      <c r="E29" s="1154" t="s">
        <v>6</v>
      </c>
      <c r="F29" s="1155"/>
      <c r="G29" s="1156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74"/>
      <c r="B30" s="1271"/>
      <c r="C30" s="1271"/>
      <c r="D30" s="1097"/>
      <c r="E30" s="1097" t="s">
        <v>13</v>
      </c>
      <c r="F30" s="1099" t="s">
        <v>14</v>
      </c>
      <c r="G30" s="1100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75"/>
      <c r="B31" s="1272"/>
      <c r="C31" s="1272"/>
      <c r="D31" s="1098"/>
      <c r="E31" s="1098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4405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4393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4405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4394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4405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4395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4405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4396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4405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4397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69" t="s">
        <v>2</v>
      </c>
      <c r="L39" s="1244"/>
      <c r="M39" s="1244"/>
      <c r="N39" s="1244"/>
      <c r="O39" s="1245"/>
    </row>
    <row r="40" spans="1:16" ht="19.899999999999999" customHeight="1">
      <c r="A40" s="1273" t="s">
        <v>3</v>
      </c>
      <c r="B40" s="1270" t="s">
        <v>4</v>
      </c>
      <c r="C40" s="1270" t="s">
        <v>5</v>
      </c>
      <c r="D40" s="1153" t="s">
        <v>4291</v>
      </c>
      <c r="E40" s="1154" t="s">
        <v>6</v>
      </c>
      <c r="F40" s="1155"/>
      <c r="G40" s="1156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74"/>
      <c r="B41" s="1271"/>
      <c r="C41" s="1271"/>
      <c r="D41" s="1097"/>
      <c r="E41" s="1097" t="s">
        <v>13</v>
      </c>
      <c r="F41" s="1099" t="s">
        <v>14</v>
      </c>
      <c r="G41" s="1100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75"/>
      <c r="B42" s="1272"/>
      <c r="C42" s="1272"/>
      <c r="D42" s="1098"/>
      <c r="E42" s="1098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23</v>
      </c>
      <c r="B43" s="722" t="s">
        <v>4749</v>
      </c>
      <c r="C43" s="531" t="str">
        <f>VLOOKUP(LEFT(B43,3),'ships name'!A:C,2,FALSE)</f>
        <v>COSCO BEIJING</v>
      </c>
      <c r="D43" s="812" t="str">
        <f>VLOOKUP(C43,'ships name'!B:C,2,FALSE)</f>
        <v>东方远京</v>
      </c>
      <c r="E43" s="722"/>
      <c r="F43" s="716" t="str">
        <f>LEFT(G43,6)</f>
        <v>0PP3XE</v>
      </c>
      <c r="G43" s="710" t="s">
        <v>4753</v>
      </c>
      <c r="H43" s="710">
        <f>I43</f>
        <v>43623</v>
      </c>
      <c r="I43" s="710">
        <f>J43</f>
        <v>43623</v>
      </c>
      <c r="J43" s="710">
        <v>43623</v>
      </c>
      <c r="K43" s="726">
        <f>J43+19</f>
        <v>43642</v>
      </c>
      <c r="L43" s="737">
        <f>J43+29</f>
        <v>43652</v>
      </c>
      <c r="M43" s="737">
        <f>J43+24</f>
        <v>43647</v>
      </c>
      <c r="N43" s="737">
        <f>J43+32</f>
        <v>43655</v>
      </c>
      <c r="O43" s="737">
        <f>J43+8</f>
        <v>43631</v>
      </c>
    </row>
    <row r="44" spans="1:16" ht="19.899999999999999" customHeight="1">
      <c r="A44" s="733">
        <f>A43+1</f>
        <v>24</v>
      </c>
      <c r="B44" s="733" t="s">
        <v>4924</v>
      </c>
      <c r="C44" s="538" t="str">
        <f>VLOOKUP(LEFT(B44,3),'ships name'!A:C,2,FALSE)</f>
        <v>CMA CGM COCHIN</v>
      </c>
      <c r="D44" s="809" t="str">
        <f>VLOOKUP(C44,'ships name'!B:C,2,FALSE)</f>
        <v xml:space="preserve"> </v>
      </c>
      <c r="E44" s="733"/>
      <c r="F44" s="716" t="str">
        <f>LEFT(G44,6)</f>
        <v>0PP3ZE</v>
      </c>
      <c r="G44" s="716" t="s">
        <v>4754</v>
      </c>
      <c r="H44" s="716">
        <f t="shared" ref="H44:I47" si="83">H43+7</f>
        <v>43630</v>
      </c>
      <c r="I44" s="716">
        <f t="shared" si="83"/>
        <v>43630</v>
      </c>
      <c r="J44" s="716">
        <f>I44</f>
        <v>43630</v>
      </c>
      <c r="K44" s="736">
        <f>J44+19</f>
        <v>43649</v>
      </c>
      <c r="L44" s="727">
        <f t="shared" ref="L44" si="84">J44+29</f>
        <v>43659</v>
      </c>
      <c r="M44" s="727">
        <f t="shared" ref="M44" si="85">J44+24</f>
        <v>43654</v>
      </c>
      <c r="N44" s="727">
        <f t="shared" ref="N44" si="86">J44+32</f>
        <v>43662</v>
      </c>
      <c r="O44" s="727">
        <f t="shared" ref="O44" si="87">J44+8</f>
        <v>43638</v>
      </c>
    </row>
    <row r="45" spans="1:16" ht="19.899999999999999" customHeight="1">
      <c r="A45" s="733">
        <f>A44+1</f>
        <v>25</v>
      </c>
      <c r="B45" s="733" t="s">
        <v>4750</v>
      </c>
      <c r="C45" s="538" t="str">
        <f>VLOOKUP(LEFT(B45,3),'ships name'!A:C,2,FALSE)</f>
        <v>CSAV TRANCURA</v>
      </c>
      <c r="D45" s="809" t="str">
        <f>VLOOKUP(C45,'ships name'!B:C,2,FALSE)</f>
        <v>智利特兰库拉</v>
      </c>
      <c r="E45" s="733"/>
      <c r="F45" s="716" t="str">
        <f>LEFT(G45,6)</f>
        <v>0PP41E</v>
      </c>
      <c r="G45" s="716" t="s">
        <v>4755</v>
      </c>
      <c r="H45" s="716">
        <f t="shared" si="83"/>
        <v>43637</v>
      </c>
      <c r="I45" s="716">
        <f t="shared" si="83"/>
        <v>43637</v>
      </c>
      <c r="J45" s="716">
        <f>I45</f>
        <v>43637</v>
      </c>
      <c r="K45" s="736">
        <f>J45+19</f>
        <v>43656</v>
      </c>
      <c r="L45" s="727">
        <f t="shared" ref="L45" si="88">J45+29</f>
        <v>43666</v>
      </c>
      <c r="M45" s="727">
        <f t="shared" ref="M45" si="89">J45+24</f>
        <v>43661</v>
      </c>
      <c r="N45" s="727">
        <f t="shared" ref="N45" si="90">J45+32</f>
        <v>43669</v>
      </c>
      <c r="O45" s="727">
        <f t="shared" ref="O45" si="91">J45+8</f>
        <v>43645</v>
      </c>
    </row>
    <row r="46" spans="1:16" ht="19.899999999999999" customHeight="1">
      <c r="A46" s="733">
        <f>A45+1</f>
        <v>26</v>
      </c>
      <c r="B46" s="733" t="s">
        <v>4751</v>
      </c>
      <c r="C46" s="538" t="str">
        <f>VLOOKUP(LEFT(B46,3),'ships name'!A:C,2,FALSE)</f>
        <v>SANTA LORETTA</v>
      </c>
      <c r="D46" s="809" t="str">
        <f>VLOOKUP(C46,'ships name'!B:C,2,FALSE)</f>
        <v xml:space="preserve"> </v>
      </c>
      <c r="E46" s="733"/>
      <c r="F46" s="716" t="str">
        <f>RIGHT(B46,3)&amp;"E"</f>
        <v>049E</v>
      </c>
      <c r="G46" s="716" t="s">
        <v>4756</v>
      </c>
      <c r="H46" s="716">
        <f t="shared" si="83"/>
        <v>43644</v>
      </c>
      <c r="I46" s="716">
        <f t="shared" si="83"/>
        <v>43644</v>
      </c>
      <c r="J46" s="716">
        <f>I46</f>
        <v>43644</v>
      </c>
      <c r="K46" s="736">
        <f>J46+19</f>
        <v>43663</v>
      </c>
      <c r="L46" s="727">
        <f t="shared" ref="L46" si="92">J46+29</f>
        <v>43673</v>
      </c>
      <c r="M46" s="727">
        <f t="shared" ref="M46" si="93">J46+24</f>
        <v>43668</v>
      </c>
      <c r="N46" s="727">
        <f t="shared" ref="N46" si="94">J46+32</f>
        <v>43676</v>
      </c>
      <c r="O46" s="727">
        <f t="shared" ref="O46" si="95">J46+8</f>
        <v>43652</v>
      </c>
    </row>
    <row r="47" spans="1:16" ht="19.899999999999999" customHeight="1">
      <c r="A47" s="733">
        <f>A46+1</f>
        <v>27</v>
      </c>
      <c r="B47" s="733" t="s">
        <v>4752</v>
      </c>
      <c r="C47" s="538" t="str">
        <f>VLOOKUP(LEFT(B47,3),'ships name'!A:C,2,FALSE)</f>
        <v>APL PHOENIX</v>
      </c>
      <c r="D47" s="809" t="str">
        <f>VLOOKUP(C47,'ships name'!B:C,2,FALSE)</f>
        <v xml:space="preserve"> </v>
      </c>
      <c r="E47" s="733"/>
      <c r="F47" s="716" t="str">
        <f>LEFT(G47,6)</f>
        <v>0PP45E</v>
      </c>
      <c r="G47" s="716" t="s">
        <v>4757</v>
      </c>
      <c r="H47" s="716">
        <f t="shared" si="83"/>
        <v>43651</v>
      </c>
      <c r="I47" s="716">
        <f t="shared" si="83"/>
        <v>43651</v>
      </c>
      <c r="J47" s="716">
        <f>I47</f>
        <v>43651</v>
      </c>
      <c r="K47" s="736">
        <f>J47+19</f>
        <v>43670</v>
      </c>
      <c r="L47" s="727">
        <f t="shared" ref="L47" si="96">J47+29</f>
        <v>43680</v>
      </c>
      <c r="M47" s="727">
        <f t="shared" ref="M47" si="97">J47+24</f>
        <v>43675</v>
      </c>
      <c r="N47" s="727">
        <f t="shared" ref="N47" si="98">J47+32</f>
        <v>43683</v>
      </c>
      <c r="O47" s="727">
        <f t="shared" ref="O47" si="99">J47+8</f>
        <v>43659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zoomScale="85" zoomScaleNormal="85" workbookViewId="0">
      <selection activeCell="B31" sqref="B31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8" t="s">
        <v>0</v>
      </c>
      <c r="B2" s="1278"/>
      <c r="C2" s="1278"/>
      <c r="D2" s="1278"/>
      <c r="E2" s="1278"/>
      <c r="F2" s="1278"/>
      <c r="G2" s="1278"/>
      <c r="H2" s="1278"/>
      <c r="I2" s="1278"/>
      <c r="J2" s="1278"/>
      <c r="K2" s="1278"/>
      <c r="L2" s="1278"/>
      <c r="M2" s="1278"/>
      <c r="N2" s="1278"/>
    </row>
    <row r="3" spans="1:15" ht="28.15" customHeight="1">
      <c r="A3" s="1122"/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</row>
    <row r="4" spans="1:15" ht="28.15" customHeight="1">
      <c r="A4" s="1278" t="str">
        <f>IA!A4</f>
        <v>2019年06月船期表</v>
      </c>
      <c r="B4" s="1278"/>
      <c r="C4" s="1278"/>
      <c r="D4" s="1278"/>
      <c r="E4" s="1278"/>
      <c r="F4" s="1278"/>
      <c r="G4" s="1278"/>
      <c r="H4" s="1278"/>
      <c r="I4" s="1278"/>
      <c r="J4" s="1278"/>
      <c r="K4" s="1278"/>
      <c r="L4" s="1278"/>
      <c r="M4" s="1278"/>
      <c r="N4" s="1278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403" t="s">
        <v>208</v>
      </c>
      <c r="B7" s="1328"/>
      <c r="C7" s="1328"/>
      <c r="D7" s="532"/>
      <c r="E7" s="534" t="s">
        <v>74</v>
      </c>
      <c r="F7" s="251"/>
      <c r="G7" s="251"/>
      <c r="H7" s="251" t="s">
        <v>75</v>
      </c>
      <c r="I7" s="251"/>
      <c r="J7" s="251"/>
      <c r="K7" s="1176" t="s">
        <v>2</v>
      </c>
      <c r="L7" s="1170"/>
      <c r="M7" s="1170"/>
      <c r="N7" s="1170"/>
      <c r="O7" s="1171"/>
    </row>
    <row r="8" spans="1:15" ht="19.899999999999999" hidden="1" customHeight="1">
      <c r="A8" s="1273" t="s">
        <v>3</v>
      </c>
      <c r="B8" s="1270" t="s">
        <v>4</v>
      </c>
      <c r="C8" s="1270" t="s">
        <v>5</v>
      </c>
      <c r="D8" s="728"/>
      <c r="E8" s="1417" t="s">
        <v>6</v>
      </c>
      <c r="F8" s="1418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74"/>
      <c r="B9" s="1271"/>
      <c r="C9" s="1271"/>
      <c r="D9" s="530"/>
      <c r="E9" s="1388" t="s">
        <v>13</v>
      </c>
      <c r="F9" s="1411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75"/>
      <c r="B10" s="1272"/>
      <c r="C10" s="1272"/>
      <c r="D10" s="527"/>
      <c r="E10" s="1219"/>
      <c r="F10" s="1412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21">
        <v>19</v>
      </c>
      <c r="B11" s="1391"/>
      <c r="C11" s="110" t="e">
        <f>VLOOKUP((LEFT(B11,3)),'ships name'!A:C,2,FALSE)</f>
        <v>#N/A</v>
      </c>
      <c r="D11" s="558"/>
      <c r="E11" s="1212" t="str">
        <f>RIGHT(B11,3)&amp;"W"</f>
        <v>W</v>
      </c>
      <c r="F11" s="1212" t="s">
        <v>3927</v>
      </c>
      <c r="G11" s="500"/>
      <c r="H11" s="1379">
        <f>I11-1</f>
        <v>43225</v>
      </c>
      <c r="I11" s="1361">
        <f>J11-1</f>
        <v>43226</v>
      </c>
      <c r="J11" s="1424">
        <v>43227</v>
      </c>
      <c r="K11" s="1370">
        <f>J11+21</f>
        <v>43248</v>
      </c>
      <c r="L11" s="1353">
        <f>J11+28</f>
        <v>43255</v>
      </c>
      <c r="M11" s="1353">
        <f>J11+31</f>
        <v>43258</v>
      </c>
      <c r="N11" s="1298">
        <f>J11+33</f>
        <v>43260</v>
      </c>
      <c r="O11" s="1293">
        <f t="shared" ref="O11" si="0">J11+26</f>
        <v>43253</v>
      </c>
    </row>
    <row r="12" spans="1:15" ht="19.899999999999999" hidden="1" customHeight="1">
      <c r="A12" s="1307"/>
      <c r="B12" s="1392"/>
      <c r="C12" s="109" t="e">
        <f>VLOOKUP((LEFT(B11,3)),'ships name'!A:C,3,FALSE)</f>
        <v>#N/A</v>
      </c>
      <c r="D12" s="493"/>
      <c r="E12" s="1205"/>
      <c r="F12" s="1205"/>
      <c r="G12" s="501"/>
      <c r="H12" s="1380"/>
      <c r="I12" s="1362"/>
      <c r="J12" s="1293"/>
      <c r="K12" s="1371"/>
      <c r="L12" s="1354"/>
      <c r="M12" s="1354"/>
      <c r="N12" s="1282"/>
      <c r="O12" s="1294"/>
    </row>
    <row r="13" spans="1:15" ht="19.899999999999999" hidden="1" customHeight="1">
      <c r="A13" s="1422">
        <f>A11+1</f>
        <v>20</v>
      </c>
      <c r="B13" s="1393"/>
      <c r="C13" s="110" t="e">
        <f>VLOOKUP((LEFT(B13,3)),'ships name'!A:C,2,FALSE)</f>
        <v>#N/A</v>
      </c>
      <c r="D13" s="558"/>
      <c r="E13" s="1212" t="str">
        <f>RIGHT(B13,3)&amp;"W"</f>
        <v>W</v>
      </c>
      <c r="F13" s="1212" t="str">
        <f>RIGHT(B13,3)&amp;"E"</f>
        <v>E</v>
      </c>
      <c r="G13" s="500"/>
      <c r="H13" s="1308">
        <f t="shared" ref="H13:N13" si="1">H11+7</f>
        <v>43232</v>
      </c>
      <c r="I13" s="1361">
        <f t="shared" ref="I13:I15" si="2">J13-1</f>
        <v>43233</v>
      </c>
      <c r="J13" s="1329">
        <f>J11+7</f>
        <v>43234</v>
      </c>
      <c r="K13" s="1372">
        <f t="shared" si="1"/>
        <v>43255</v>
      </c>
      <c r="L13" s="1212">
        <f t="shared" si="1"/>
        <v>43262</v>
      </c>
      <c r="M13" s="1355">
        <f t="shared" si="1"/>
        <v>43265</v>
      </c>
      <c r="N13" s="1125">
        <f t="shared" si="1"/>
        <v>43267</v>
      </c>
      <c r="O13" s="1295">
        <f t="shared" ref="O13" si="3">J13+26</f>
        <v>43260</v>
      </c>
    </row>
    <row r="14" spans="1:15" ht="19.899999999999999" hidden="1" customHeight="1" thickBot="1">
      <c r="A14" s="1334"/>
      <c r="B14" s="1394"/>
      <c r="C14" s="109" t="e">
        <f>VLOOKUP((LEFT(B13,3)),'ships name'!A:C,3,FALSE)</f>
        <v>#N/A</v>
      </c>
      <c r="D14" s="493"/>
      <c r="E14" s="1205"/>
      <c r="F14" s="1205"/>
      <c r="G14" s="501"/>
      <c r="H14" s="1308"/>
      <c r="I14" s="1362"/>
      <c r="J14" s="1425"/>
      <c r="K14" s="1373"/>
      <c r="L14" s="1233"/>
      <c r="M14" s="1356"/>
      <c r="N14" s="1233"/>
      <c r="O14" s="1296"/>
    </row>
    <row r="15" spans="1:15" ht="19.899999999999999" hidden="1" customHeight="1">
      <c r="A15" s="1422">
        <f>A13+1</f>
        <v>21</v>
      </c>
      <c r="B15" s="1393"/>
      <c r="C15" s="110" t="e">
        <f>VLOOKUP((LEFT(B15,3)),'ships name'!A:C,2,FALSE)</f>
        <v>#N/A</v>
      </c>
      <c r="D15" s="558"/>
      <c r="E15" s="1212" t="str">
        <f>RIGHT(B15,3)&amp;"W"</f>
        <v>W</v>
      </c>
      <c r="F15" s="1212" t="s">
        <v>3928</v>
      </c>
      <c r="G15" s="500"/>
      <c r="H15" s="1308">
        <f t="shared" ref="H15:N15" si="4">H13+7</f>
        <v>43239</v>
      </c>
      <c r="I15" s="1361">
        <f t="shared" si="2"/>
        <v>43240</v>
      </c>
      <c r="J15" s="1329">
        <f t="shared" ref="J15:J17" si="5">J13+7</f>
        <v>43241</v>
      </c>
      <c r="K15" s="1372">
        <f t="shared" si="4"/>
        <v>43262</v>
      </c>
      <c r="L15" s="1212">
        <f t="shared" si="4"/>
        <v>43269</v>
      </c>
      <c r="M15" s="1355">
        <f t="shared" si="4"/>
        <v>43272</v>
      </c>
      <c r="N15" s="1212">
        <f t="shared" si="4"/>
        <v>43274</v>
      </c>
      <c r="O15" s="1295">
        <f t="shared" ref="O15" si="6">J15+26</f>
        <v>43267</v>
      </c>
    </row>
    <row r="16" spans="1:15" ht="19.899999999999999" hidden="1" customHeight="1">
      <c r="A16" s="1334"/>
      <c r="B16" s="1392"/>
      <c r="C16" s="109" t="e">
        <f>VLOOKUP((LEFT(B15,3)),'ships name'!A:C,3,FALSE)</f>
        <v>#N/A</v>
      </c>
      <c r="D16" s="493"/>
      <c r="E16" s="1205"/>
      <c r="F16" s="1205"/>
      <c r="G16" s="501"/>
      <c r="H16" s="1308"/>
      <c r="I16" s="1362"/>
      <c r="J16" s="1425"/>
      <c r="K16" s="1373"/>
      <c r="L16" s="1233"/>
      <c r="M16" s="1356"/>
      <c r="N16" s="1233"/>
      <c r="O16" s="1296"/>
    </row>
    <row r="17" spans="1:22" ht="19.899999999999999" hidden="1" customHeight="1">
      <c r="A17" s="1422">
        <f>A15+1</f>
        <v>22</v>
      </c>
      <c r="B17" s="1393"/>
      <c r="C17" s="110" t="e">
        <f>VLOOKUP((LEFT(B17,3)),'ships name'!A:C,2,FALSE)</f>
        <v>#N/A</v>
      </c>
      <c r="D17" s="558"/>
      <c r="E17" s="1212" t="str">
        <f>RIGHT(B17,3)&amp;"W"</f>
        <v>W</v>
      </c>
      <c r="F17" s="1212" t="str">
        <f>RIGHT(B17,3)&amp;"E"</f>
        <v>E</v>
      </c>
      <c r="G17" s="500"/>
      <c r="H17" s="1308">
        <f>I17-2</f>
        <v>43246</v>
      </c>
      <c r="I17" s="1363">
        <f>J17</f>
        <v>43248</v>
      </c>
      <c r="J17" s="1329">
        <f t="shared" si="5"/>
        <v>43248</v>
      </c>
      <c r="K17" s="1374"/>
      <c r="L17" s="1212">
        <f t="shared" ref="L17:N17" si="7">L15+7</f>
        <v>43276</v>
      </c>
      <c r="M17" s="1355">
        <f t="shared" si="7"/>
        <v>43279</v>
      </c>
      <c r="N17" s="1212">
        <f t="shared" si="7"/>
        <v>43281</v>
      </c>
      <c r="O17" s="1295">
        <f>J17+26</f>
        <v>43274</v>
      </c>
    </row>
    <row r="18" spans="1:22" ht="19.899999999999999" hidden="1" customHeight="1">
      <c r="A18" s="1334"/>
      <c r="B18" s="1392"/>
      <c r="C18" s="109" t="e">
        <f>VLOOKUP((LEFT(B17,3)),'ships name'!A:C,3,FALSE)</f>
        <v>#N/A</v>
      </c>
      <c r="D18" s="493"/>
      <c r="E18" s="1205"/>
      <c r="F18" s="1205"/>
      <c r="G18" s="501"/>
      <c r="H18" s="1308"/>
      <c r="I18" s="1364"/>
      <c r="J18" s="1425"/>
      <c r="K18" s="1375"/>
      <c r="L18" s="1233"/>
      <c r="M18" s="1356"/>
      <c r="N18" s="1233"/>
      <c r="O18" s="1296"/>
    </row>
    <row r="19" spans="1:22" ht="19.899999999999999" hidden="1" customHeight="1">
      <c r="A19" s="1334">
        <f>A17+1</f>
        <v>23</v>
      </c>
      <c r="B19" s="1393"/>
      <c r="C19" s="110" t="e">
        <f>VLOOKUP((LEFT(B19,3)),'ships name'!A:C,2,FALSE)</f>
        <v>#N/A</v>
      </c>
      <c r="D19" s="558"/>
      <c r="E19" s="1212" t="str">
        <f>RIGHT(B19,3)&amp;"W"</f>
        <v>W</v>
      </c>
      <c r="F19" s="1125" t="str">
        <f>RIGHT(B19,3)&amp;"E"</f>
        <v>E</v>
      </c>
      <c r="G19" s="503"/>
      <c r="H19" s="1381">
        <f>I19-2</f>
        <v>43253</v>
      </c>
      <c r="I19" s="1365">
        <f>J19</f>
        <v>43255</v>
      </c>
      <c r="J19" s="1329">
        <f t="shared" ref="J19" si="8">J17+7</f>
        <v>43255</v>
      </c>
      <c r="K19" s="1374"/>
      <c r="L19" s="1212">
        <f t="shared" ref="L19:N19" si="9">L17+7</f>
        <v>43283</v>
      </c>
      <c r="M19" s="1355">
        <f t="shared" si="9"/>
        <v>43286</v>
      </c>
      <c r="N19" s="1212">
        <f t="shared" si="9"/>
        <v>43288</v>
      </c>
      <c r="O19" s="1295">
        <f>J19+26</f>
        <v>43281</v>
      </c>
    </row>
    <row r="20" spans="1:22" ht="19.899999999999999" hidden="1" customHeight="1" thickBot="1">
      <c r="A20" s="1423"/>
      <c r="B20" s="1394"/>
      <c r="C20" s="111" t="e">
        <f>VLOOKUP((LEFT(B19,3)),'ships name'!A:C,3,FALSE)</f>
        <v>#N/A</v>
      </c>
      <c r="D20" s="511"/>
      <c r="E20" s="1126"/>
      <c r="F20" s="1126"/>
      <c r="G20" s="502"/>
      <c r="H20" s="1382"/>
      <c r="I20" s="1366"/>
      <c r="J20" s="1330"/>
      <c r="K20" s="1378"/>
      <c r="L20" s="1252"/>
      <c r="M20" s="1357"/>
      <c r="N20" s="1252"/>
      <c r="O20" s="1297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76" t="s">
        <v>209</v>
      </c>
      <c r="B23" s="1277"/>
      <c r="C23" s="1277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419" t="s">
        <v>2</v>
      </c>
      <c r="L23" s="1420"/>
      <c r="M23" s="1420"/>
      <c r="N23" s="1420"/>
      <c r="O23" s="1420"/>
      <c r="P23" s="769"/>
    </row>
    <row r="24" spans="1:22" ht="19.899999999999999" customHeight="1">
      <c r="A24" s="1274" t="s">
        <v>3</v>
      </c>
      <c r="B24" s="1271" t="s">
        <v>4</v>
      </c>
      <c r="C24" s="1271" t="s">
        <v>5</v>
      </c>
      <c r="D24" s="1153" t="s">
        <v>4291</v>
      </c>
      <c r="E24" s="1154" t="s">
        <v>6</v>
      </c>
      <c r="F24" s="1155"/>
      <c r="G24" s="1156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4586</v>
      </c>
      <c r="O24" s="485" t="s">
        <v>213</v>
      </c>
      <c r="P24" s="952" t="s">
        <v>3424</v>
      </c>
    </row>
    <row r="25" spans="1:22" ht="19.899999999999999" customHeight="1">
      <c r="A25" s="1274"/>
      <c r="B25" s="1271"/>
      <c r="C25" s="1271"/>
      <c r="D25" s="1097"/>
      <c r="E25" s="1097" t="s">
        <v>13</v>
      </c>
      <c r="F25" s="1383" t="s">
        <v>14</v>
      </c>
      <c r="G25" s="1384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4587</v>
      </c>
      <c r="O25" s="535" t="s">
        <v>217</v>
      </c>
      <c r="P25" s="953" t="s">
        <v>3423</v>
      </c>
    </row>
    <row r="26" spans="1:22" ht="19.899999999999999" customHeight="1" thickBot="1">
      <c r="A26" s="1275"/>
      <c r="B26" s="1272"/>
      <c r="C26" s="1272"/>
      <c r="D26" s="1098"/>
      <c r="E26" s="1098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4" t="s">
        <v>67</v>
      </c>
    </row>
    <row r="27" spans="1:22" ht="19.899999999999999" customHeight="1">
      <c r="A27" s="722">
        <v>23</v>
      </c>
      <c r="B27" s="722" t="s">
        <v>4758</v>
      </c>
      <c r="C27" s="493" t="str">
        <f>VLOOKUP((LEFT(B27,3)),'ships name'!A:C,2,FALSE)</f>
        <v>BALTIC BRIDGE</v>
      </c>
      <c r="D27" s="812" t="str">
        <f>VLOOKUP(C27,'ships name'!B:C,2,FALSE)</f>
        <v>达飞鲍尔迪克布里奇</v>
      </c>
      <c r="E27" s="611" t="str">
        <f>F27</f>
        <v>0PG3ZE</v>
      </c>
      <c r="F27" s="611" t="str">
        <f>LEFT(G27,6)</f>
        <v>0PG3ZE</v>
      </c>
      <c r="G27" s="611" t="s">
        <v>4762</v>
      </c>
      <c r="H27" s="744">
        <f>I27-1</f>
        <v>43622</v>
      </c>
      <c r="I27" s="744">
        <f>J27</f>
        <v>43623</v>
      </c>
      <c r="J27" s="744">
        <v>43623</v>
      </c>
      <c r="K27" s="745">
        <f>J27+2</f>
        <v>43625</v>
      </c>
      <c r="L27" s="745">
        <f>J27+25</f>
        <v>43648</v>
      </c>
      <c r="M27" s="745">
        <f>J27+28</f>
        <v>43651</v>
      </c>
      <c r="N27" s="744">
        <f>J27+33</f>
        <v>43656</v>
      </c>
      <c r="O27" s="744">
        <f>J27+35</f>
        <v>43658</v>
      </c>
      <c r="P27" s="955">
        <f>J27+30</f>
        <v>43653</v>
      </c>
    </row>
    <row r="28" spans="1:22" ht="19.899999999999999" customHeight="1">
      <c r="A28" s="733">
        <f>A27+1</f>
        <v>24</v>
      </c>
      <c r="B28" s="733" t="s">
        <v>4759</v>
      </c>
      <c r="C28" s="499" t="str">
        <f>VLOOKUP((LEFT(B28,3)),'ships name'!A:C,2,FALSE)</f>
        <v>E.R. TIANPING</v>
      </c>
      <c r="D28" s="809" t="str">
        <f>VLOOKUP(C28,'ships name'!B:C,2,FALSE)</f>
        <v xml:space="preserve"> </v>
      </c>
      <c r="E28" s="611" t="str">
        <f t="shared" ref="E28:E31" si="10">F28</f>
        <v>0PG41E</v>
      </c>
      <c r="F28" s="611" t="str">
        <f t="shared" ref="F28:F31" si="11">LEFT(G28,6)</f>
        <v>0PG41E</v>
      </c>
      <c r="G28" s="580" t="s">
        <v>4763</v>
      </c>
      <c r="H28" s="760">
        <f>I28-1</f>
        <v>43629</v>
      </c>
      <c r="I28" s="760">
        <f>J28</f>
        <v>43630</v>
      </c>
      <c r="J28" s="716">
        <f>J27+7</f>
        <v>43630</v>
      </c>
      <c r="K28" s="767">
        <f>J28+2</f>
        <v>43632</v>
      </c>
      <c r="L28" s="767">
        <f>J28+25</f>
        <v>43655</v>
      </c>
      <c r="M28" s="767">
        <f>J28+28</f>
        <v>43658</v>
      </c>
      <c r="N28" s="760">
        <f>J28+33</f>
        <v>43663</v>
      </c>
      <c r="O28" s="760">
        <f>J28+35</f>
        <v>43665</v>
      </c>
      <c r="P28" s="956">
        <f>J28+30</f>
        <v>43660</v>
      </c>
    </row>
    <row r="29" spans="1:22" ht="19.899999999999999" customHeight="1">
      <c r="A29" s="733">
        <f>A28+1</f>
        <v>25</v>
      </c>
      <c r="B29" s="733" t="s">
        <v>4760</v>
      </c>
      <c r="C29" s="499" t="str">
        <f>VLOOKUP((LEFT(B29,3)),'ships name'!A:C,2,FALSE)</f>
        <v>CMA CGM LA SCALA</v>
      </c>
      <c r="D29" s="809" t="str">
        <f>VLOOKUP(C29,'ships name'!B:C,2,FALSE)</f>
        <v>达飞斯卡拉</v>
      </c>
      <c r="E29" s="611" t="str">
        <f t="shared" si="10"/>
        <v>0PG43E</v>
      </c>
      <c r="F29" s="611" t="str">
        <f t="shared" si="11"/>
        <v>0PG43E</v>
      </c>
      <c r="G29" s="580" t="s">
        <v>4764</v>
      </c>
      <c r="H29" s="760">
        <f>I29-1</f>
        <v>43636</v>
      </c>
      <c r="I29" s="760">
        <f>J29</f>
        <v>43637</v>
      </c>
      <c r="J29" s="716">
        <f>J28+7</f>
        <v>43637</v>
      </c>
      <c r="K29" s="767">
        <f>J29+2</f>
        <v>43639</v>
      </c>
      <c r="L29" s="767">
        <f>J29+25</f>
        <v>43662</v>
      </c>
      <c r="M29" s="767">
        <f>J29+28</f>
        <v>43665</v>
      </c>
      <c r="N29" s="760">
        <f>J29+33</f>
        <v>43670</v>
      </c>
      <c r="O29" s="760">
        <f>J29+35</f>
        <v>43672</v>
      </c>
      <c r="P29" s="956">
        <f>J29+30</f>
        <v>43667</v>
      </c>
    </row>
    <row r="30" spans="1:22" ht="19.899999999999999" customHeight="1">
      <c r="A30" s="733">
        <f>A29+1</f>
        <v>26</v>
      </c>
      <c r="B30" s="733" t="s">
        <v>4761</v>
      </c>
      <c r="C30" s="499" t="str">
        <f>VLOOKUP((LEFT(B30,3)),'ships name'!A:C,2,FALSE)</f>
        <v>NAVIOS UNITE</v>
      </c>
      <c r="D30" s="809" t="str">
        <f>VLOOKUP(C30,'ships name'!B:C,2,FALSE)</f>
        <v xml:space="preserve"> </v>
      </c>
      <c r="E30" s="611" t="str">
        <f t="shared" si="10"/>
        <v>0PG45E</v>
      </c>
      <c r="F30" s="611" t="str">
        <f t="shared" si="11"/>
        <v>0PG45E</v>
      </c>
      <c r="G30" s="580" t="s">
        <v>4765</v>
      </c>
      <c r="H30" s="760">
        <f>I30-1</f>
        <v>43643</v>
      </c>
      <c r="I30" s="760">
        <f>J30</f>
        <v>43644</v>
      </c>
      <c r="J30" s="716">
        <f>J29+7</f>
        <v>43644</v>
      </c>
      <c r="K30" s="767">
        <f>J30+2</f>
        <v>43646</v>
      </c>
      <c r="L30" s="767">
        <f>J30+25</f>
        <v>43669</v>
      </c>
      <c r="M30" s="767">
        <f>J30+28</f>
        <v>43672</v>
      </c>
      <c r="N30" s="760">
        <f>J30+33</f>
        <v>43677</v>
      </c>
      <c r="O30" s="760">
        <f>J30+35</f>
        <v>43679</v>
      </c>
      <c r="P30" s="956">
        <f>J30+30</f>
        <v>43674</v>
      </c>
    </row>
    <row r="31" spans="1:22" ht="19.899999999999999" customHeight="1">
      <c r="A31" s="733">
        <f>A30+1</f>
        <v>27</v>
      </c>
      <c r="B31" s="733" t="s">
        <v>4938</v>
      </c>
      <c r="C31" s="499" t="str">
        <f>VLOOKUP((LEFT(B31,3)),'ships name'!A:C,2,FALSE)</f>
        <v>CMA CGM LA TRAVIATA</v>
      </c>
      <c r="D31" s="809" t="str">
        <f>VLOOKUP(C31,'ships name'!B:C,2,FALSE)</f>
        <v xml:space="preserve"> </v>
      </c>
      <c r="E31" s="611" t="str">
        <f t="shared" si="10"/>
        <v>0PG47E</v>
      </c>
      <c r="F31" s="611" t="str">
        <f t="shared" si="11"/>
        <v>0PG47E</v>
      </c>
      <c r="G31" s="580" t="s">
        <v>4766</v>
      </c>
      <c r="H31" s="760">
        <f>I31-1</f>
        <v>43650</v>
      </c>
      <c r="I31" s="760">
        <f>J31</f>
        <v>43651</v>
      </c>
      <c r="J31" s="716">
        <f>J30+7</f>
        <v>43651</v>
      </c>
      <c r="K31" s="767">
        <f>J31+2</f>
        <v>43653</v>
      </c>
      <c r="L31" s="767">
        <f>J31+25</f>
        <v>43676</v>
      </c>
      <c r="M31" s="767">
        <f>J31+28</f>
        <v>43679</v>
      </c>
      <c r="N31" s="760">
        <f>J31+33</f>
        <v>43684</v>
      </c>
      <c r="O31" s="760">
        <f>J31+35</f>
        <v>43686</v>
      </c>
      <c r="P31" s="956">
        <f>J31+30</f>
        <v>43681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403" t="s">
        <v>221</v>
      </c>
      <c r="B33" s="1328"/>
      <c r="C33" s="1328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76" t="s">
        <v>2</v>
      </c>
      <c r="L33" s="1170"/>
      <c r="M33" s="1170"/>
      <c r="N33" s="1170"/>
      <c r="O33" s="1170"/>
      <c r="P33" s="1171"/>
    </row>
    <row r="34" spans="1:22" ht="19.899999999999999" customHeight="1">
      <c r="A34" s="1273" t="s">
        <v>3</v>
      </c>
      <c r="B34" s="1270" t="s">
        <v>4</v>
      </c>
      <c r="C34" s="1270" t="s">
        <v>5</v>
      </c>
      <c r="D34" s="1153" t="s">
        <v>4291</v>
      </c>
      <c r="E34" s="1099" t="s">
        <v>6</v>
      </c>
      <c r="F34" s="1385"/>
      <c r="G34" s="1100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74"/>
      <c r="B35" s="1271"/>
      <c r="C35" s="1271"/>
      <c r="D35" s="1097"/>
      <c r="E35" s="1097" t="s">
        <v>13</v>
      </c>
      <c r="F35" s="1383" t="s">
        <v>14</v>
      </c>
      <c r="G35" s="1384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75"/>
      <c r="B36" s="1272"/>
      <c r="C36" s="1272"/>
      <c r="D36" s="1098"/>
      <c r="E36" s="1098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23</v>
      </c>
      <c r="B37" s="722" t="s">
        <v>4538</v>
      </c>
      <c r="C37" s="493" t="str">
        <f>VLOOKUP((LEFT(B37,3)),'ships name'!A:C,2,FALSE)</f>
        <v>EVER LEADING</v>
      </c>
      <c r="D37" s="812" t="str">
        <f>VLOOKUP(C37,'ships name'!B:C,2,FALSE)</f>
        <v xml:space="preserve"> </v>
      </c>
      <c r="E37" s="611" t="str">
        <f>RIGHT(B37,3)&amp;"W"</f>
        <v>041W</v>
      </c>
      <c r="F37" s="744" t="str">
        <f>RIGHT(B37,3)&amp;"E"</f>
        <v>041E</v>
      </c>
      <c r="G37" s="744" t="s">
        <v>4539</v>
      </c>
      <c r="H37" s="744">
        <f>I37-1</f>
        <v>43616</v>
      </c>
      <c r="I37" s="744">
        <f>J37-1</f>
        <v>43617</v>
      </c>
      <c r="J37" s="744">
        <v>43618</v>
      </c>
      <c r="K37" s="737">
        <f>J37+3</f>
        <v>43621</v>
      </c>
      <c r="L37" s="737">
        <f>J37+22</f>
        <v>43640</v>
      </c>
      <c r="M37" s="737">
        <f>J37+27</f>
        <v>43645</v>
      </c>
      <c r="N37" s="763">
        <f>J37+34</f>
        <v>43652</v>
      </c>
      <c r="O37" s="763">
        <f>J37+29</f>
        <v>43647</v>
      </c>
      <c r="P37" s="763">
        <f>J37+32</f>
        <v>43650</v>
      </c>
    </row>
    <row r="38" spans="1:22" ht="19.899999999999999" customHeight="1">
      <c r="A38" s="733">
        <f>A37+1</f>
        <v>24</v>
      </c>
      <c r="B38" s="733" t="s">
        <v>4933</v>
      </c>
      <c r="C38" s="499" t="str">
        <f>VLOOKUP((LEFT(B38,3)),'ships name'!A:C,2,FALSE)</f>
        <v>EVER LIBERAL</v>
      </c>
      <c r="D38" s="809" t="str">
        <f>VLOOKUP(C38,'ships name'!B:C,2,FALSE)</f>
        <v>长朗</v>
      </c>
      <c r="E38" s="580" t="str">
        <f>RIGHT(B38,3)&amp;"W"</f>
        <v>031W</v>
      </c>
      <c r="F38" s="716" t="str">
        <f>RIGHT(B38,3)&amp;"E"</f>
        <v>031E</v>
      </c>
      <c r="G38" s="716" t="s">
        <v>4769</v>
      </c>
      <c r="H38" s="716">
        <f>H37+7</f>
        <v>43623</v>
      </c>
      <c r="I38" s="716">
        <f t="shared" ref="I38:J41" si="12">H38+1</f>
        <v>43624</v>
      </c>
      <c r="J38" s="716">
        <f t="shared" si="12"/>
        <v>43625</v>
      </c>
      <c r="K38" s="580">
        <f t="shared" ref="K38:O41" si="13">K37+7</f>
        <v>43628</v>
      </c>
      <c r="L38" s="580">
        <f t="shared" si="13"/>
        <v>43647</v>
      </c>
      <c r="M38" s="580">
        <f t="shared" si="13"/>
        <v>43652</v>
      </c>
      <c r="N38" s="580">
        <f t="shared" si="13"/>
        <v>43659</v>
      </c>
      <c r="O38" s="580">
        <f t="shared" si="13"/>
        <v>43654</v>
      </c>
      <c r="P38" s="580">
        <f t="shared" ref="P38" si="14">J38+32</f>
        <v>43657</v>
      </c>
    </row>
    <row r="39" spans="1:22" ht="19.899999999999999" customHeight="1">
      <c r="A39" s="733">
        <f>A38+1</f>
        <v>25</v>
      </c>
      <c r="B39" s="733" t="s">
        <v>4767</v>
      </c>
      <c r="C39" s="950" t="str">
        <f>VLOOKUP((LEFT(B39,3)),'ships name'!A:C,2,FALSE)</f>
        <v>EVER LIVEN</v>
      </c>
      <c r="D39" s="809" t="str">
        <f>VLOOKUP(C39,'ships name'!B:C,2,FALSE)</f>
        <v>长青轮</v>
      </c>
      <c r="E39" s="580" t="str">
        <f>RIGHT(B39,3)&amp;"W"</f>
        <v>037W</v>
      </c>
      <c r="F39" s="716" t="str">
        <f>RIGHT(B39,3)&amp;"E"</f>
        <v>037E</v>
      </c>
      <c r="G39" s="716" t="s">
        <v>4770</v>
      </c>
      <c r="H39" s="716">
        <f>H38+7</f>
        <v>43630</v>
      </c>
      <c r="I39" s="716">
        <f t="shared" si="12"/>
        <v>43631</v>
      </c>
      <c r="J39" s="716">
        <f t="shared" si="12"/>
        <v>43632</v>
      </c>
      <c r="K39" s="580">
        <f t="shared" si="13"/>
        <v>43635</v>
      </c>
      <c r="L39" s="580">
        <f t="shared" si="13"/>
        <v>43654</v>
      </c>
      <c r="M39" s="580">
        <f t="shared" si="13"/>
        <v>43659</v>
      </c>
      <c r="N39" s="580">
        <f t="shared" si="13"/>
        <v>43666</v>
      </c>
      <c r="O39" s="580">
        <f t="shared" si="13"/>
        <v>43661</v>
      </c>
      <c r="P39" s="580">
        <f t="shared" ref="P39" si="15">J39+32</f>
        <v>43664</v>
      </c>
    </row>
    <row r="40" spans="1:22" ht="19.899999999999999" customHeight="1">
      <c r="A40" s="733">
        <f>A39+1</f>
        <v>26</v>
      </c>
      <c r="B40" s="733" t="s">
        <v>4934</v>
      </c>
      <c r="C40" s="499" t="str">
        <f>VLOOKUP((LEFT(B40,3)),'ships name'!A:C,2,FALSE)</f>
        <v>APL SANTIAGO</v>
      </c>
      <c r="D40" s="809" t="str">
        <f>VLOOKUP(C40,'ships name'!B:C,2,FALSE)</f>
        <v>美总圣地亚哥</v>
      </c>
      <c r="E40" s="580" t="str">
        <f>RIGHT(B40,3)&amp;"W"</f>
        <v>TBAW</v>
      </c>
      <c r="F40" s="753" t="str">
        <f>RIGHT(B40,3)&amp;"E"</f>
        <v>TBAE</v>
      </c>
      <c r="G40" s="753" t="s">
        <v>4771</v>
      </c>
      <c r="H40" s="753">
        <f>H39+7</f>
        <v>43637</v>
      </c>
      <c r="I40" s="753">
        <f t="shared" si="12"/>
        <v>43638</v>
      </c>
      <c r="J40" s="753">
        <f t="shared" si="12"/>
        <v>43639</v>
      </c>
      <c r="K40" s="580">
        <f t="shared" si="13"/>
        <v>43642</v>
      </c>
      <c r="L40" s="580">
        <f t="shared" si="13"/>
        <v>43661</v>
      </c>
      <c r="M40" s="580">
        <f t="shared" si="13"/>
        <v>43666</v>
      </c>
      <c r="N40" s="580">
        <f t="shared" si="13"/>
        <v>43673</v>
      </c>
      <c r="O40" s="580">
        <f t="shared" si="13"/>
        <v>43668</v>
      </c>
      <c r="P40" s="580">
        <f t="shared" ref="P40" si="16">J40+32</f>
        <v>43671</v>
      </c>
    </row>
    <row r="41" spans="1:22" ht="19.899999999999999" customHeight="1">
      <c r="A41" s="733">
        <f>A40+1</f>
        <v>27</v>
      </c>
      <c r="B41" s="733" t="s">
        <v>4768</v>
      </c>
      <c r="C41" s="499" t="str">
        <f>VLOOKUP((LEFT(B41,3)),'ships name'!A:C,2,FALSE)</f>
        <v>EVER LAMBENT</v>
      </c>
      <c r="D41" s="809" t="str">
        <f>VLOOKUP(C41,'ships name'!B:C,2,FALSE)</f>
        <v>长华</v>
      </c>
      <c r="E41" s="580" t="str">
        <f>RIGHT(B41,3)&amp;"W"</f>
        <v>039W</v>
      </c>
      <c r="F41" s="716" t="str">
        <f>RIGHT(B41,3)&amp;"E"</f>
        <v>039E</v>
      </c>
      <c r="G41" s="716" t="s">
        <v>4772</v>
      </c>
      <c r="H41" s="716">
        <f>H40+7</f>
        <v>43644</v>
      </c>
      <c r="I41" s="716">
        <f t="shared" si="12"/>
        <v>43645</v>
      </c>
      <c r="J41" s="716">
        <f t="shared" si="12"/>
        <v>43646</v>
      </c>
      <c r="K41" s="580">
        <f t="shared" si="13"/>
        <v>43649</v>
      </c>
      <c r="L41" s="580">
        <f t="shared" si="13"/>
        <v>43668</v>
      </c>
      <c r="M41" s="580">
        <f t="shared" si="13"/>
        <v>43673</v>
      </c>
      <c r="N41" s="580">
        <f t="shared" si="13"/>
        <v>43680</v>
      </c>
      <c r="O41" s="580">
        <f t="shared" si="13"/>
        <v>43675</v>
      </c>
      <c r="P41" s="580">
        <f t="shared" ref="P41" si="17">J41+32</f>
        <v>43678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41" t="s">
        <v>230</v>
      </c>
      <c r="B43" s="1242"/>
      <c r="C43" s="1242"/>
      <c r="D43" s="508"/>
      <c r="E43" s="1387" t="s">
        <v>51</v>
      </c>
      <c r="F43" s="1387"/>
      <c r="G43" s="534"/>
      <c r="H43" s="1328" t="s">
        <v>231</v>
      </c>
      <c r="I43" s="1328"/>
      <c r="J43" s="1328"/>
      <c r="K43" s="1328"/>
      <c r="L43" s="1328"/>
      <c r="M43" s="1328"/>
      <c r="N43" s="1328"/>
      <c r="O43" s="1328"/>
      <c r="P43" s="1311" t="s">
        <v>2</v>
      </c>
      <c r="Q43" s="1312"/>
      <c r="R43" s="1312"/>
      <c r="S43" s="1312"/>
      <c r="T43" s="1313"/>
      <c r="V43" s="223"/>
    </row>
    <row r="44" spans="1:22" s="103" customFormat="1" ht="19.899999999999999" hidden="1" customHeight="1">
      <c r="A44" s="1395" t="s">
        <v>3</v>
      </c>
      <c r="B44" s="1397" t="s">
        <v>4</v>
      </c>
      <c r="C44" s="1397" t="s">
        <v>5</v>
      </c>
      <c r="D44" s="542"/>
      <c r="E44" s="1389" t="s">
        <v>6</v>
      </c>
      <c r="F44" s="1390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26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96"/>
      <c r="B45" s="1283"/>
      <c r="C45" s="1283"/>
      <c r="D45" s="746"/>
      <c r="E45" s="1209" t="s">
        <v>232</v>
      </c>
      <c r="F45" s="1209" t="s">
        <v>233</v>
      </c>
      <c r="G45" s="439"/>
      <c r="H45" s="233" t="s">
        <v>15</v>
      </c>
      <c r="I45" s="233" t="s">
        <v>16</v>
      </c>
      <c r="J45" s="230" t="s">
        <v>17</v>
      </c>
      <c r="K45" s="1283" t="s">
        <v>45</v>
      </c>
      <c r="L45" s="230" t="s">
        <v>46</v>
      </c>
      <c r="M45" s="1327"/>
      <c r="N45" s="1326" t="s">
        <v>169</v>
      </c>
      <c r="O45" s="1288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404"/>
      <c r="B46" s="1303"/>
      <c r="C46" s="1303"/>
      <c r="D46" s="541"/>
      <c r="E46" s="1388"/>
      <c r="F46" s="1388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03"/>
      <c r="L46" s="237" t="s">
        <v>22</v>
      </c>
      <c r="M46" s="1327"/>
      <c r="N46" s="1327"/>
      <c r="O46" s="1289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98">
        <f>IA!A10</f>
        <v>22</v>
      </c>
      <c r="B47" s="1409" t="str">
        <f>IA!B10</f>
        <v>void</v>
      </c>
      <c r="C47" s="262" t="str">
        <f>VLOOKUP(B47,'ships name'!A:D,2,FALSE)</f>
        <v xml:space="preserve">VOID </v>
      </c>
      <c r="D47" s="262"/>
      <c r="E47" s="1386"/>
      <c r="F47" s="1376"/>
      <c r="G47" s="547"/>
      <c r="H47" s="1376">
        <f>IA!H10</f>
        <v>43615</v>
      </c>
      <c r="I47" s="1376">
        <f>IA!I10</f>
        <v>43616</v>
      </c>
      <c r="J47" s="1376">
        <f>IA!J10</f>
        <v>43617</v>
      </c>
      <c r="K47" s="1377" t="s">
        <v>175</v>
      </c>
      <c r="L47" s="1360">
        <f>J47+9</f>
        <v>43626</v>
      </c>
      <c r="M47" s="1306" t="s">
        <v>236</v>
      </c>
      <c r="N47" s="1369" t="str">
        <f>VLOOKUP((LEFT(M47,3)),'ships name'!A:C,2,0)</f>
        <v>MOL MAXIM</v>
      </c>
      <c r="O47" s="1290" t="str">
        <f>RIGHT(M47,3)&amp;"E"</f>
        <v>034E</v>
      </c>
      <c r="P47" s="1318">
        <f>J47+36</f>
        <v>43653</v>
      </c>
      <c r="Q47" s="1286">
        <f>J47+37</f>
        <v>43654</v>
      </c>
      <c r="R47" s="1286">
        <f>J47+39</f>
        <v>43656</v>
      </c>
      <c r="S47" s="1286">
        <f>J47+40</f>
        <v>43657</v>
      </c>
      <c r="T47" s="1314">
        <f>J47+43</f>
        <v>43660</v>
      </c>
      <c r="V47" s="223"/>
    </row>
    <row r="48" spans="1:22" s="103" customFormat="1" ht="19.899999999999999" hidden="1" customHeight="1">
      <c r="A48" s="1275"/>
      <c r="B48" s="1410"/>
      <c r="C48" s="156">
        <f>VLOOKUP(B47,'ships name'!A:D,3,FALSE)</f>
        <v>0</v>
      </c>
      <c r="D48" s="747"/>
      <c r="E48" s="1337"/>
      <c r="F48" s="1368"/>
      <c r="G48" s="754"/>
      <c r="H48" s="1368"/>
      <c r="I48" s="1368"/>
      <c r="J48" s="1368"/>
      <c r="K48" s="1337"/>
      <c r="L48" s="1339"/>
      <c r="M48" s="1307"/>
      <c r="N48" s="1309"/>
      <c r="O48" s="1189"/>
      <c r="P48" s="1319"/>
      <c r="Q48" s="1287"/>
      <c r="R48" s="1287"/>
      <c r="S48" s="1287"/>
      <c r="T48" s="1315"/>
      <c r="V48" s="223"/>
    </row>
    <row r="49" spans="1:24" s="103" customFormat="1" ht="19.899999999999999" hidden="1" customHeight="1">
      <c r="A49" s="1399">
        <f>IA!A11</f>
        <v>23</v>
      </c>
      <c r="B49" s="1409">
        <f>IA!B11</f>
        <v>0</v>
      </c>
      <c r="C49" s="263" t="e">
        <f>VLOOKUP(B49,'ships name'!A:D,2,FALSE)</f>
        <v>#N/A</v>
      </c>
      <c r="D49" s="748"/>
      <c r="E49" s="1337"/>
      <c r="F49" s="1347"/>
      <c r="G49" s="755"/>
      <c r="H49" s="1347">
        <f>IA!H11</f>
        <v>43622</v>
      </c>
      <c r="I49" s="1347">
        <f>IA!I11</f>
        <v>43623</v>
      </c>
      <c r="J49" s="1347">
        <f>IA!J11</f>
        <v>43624</v>
      </c>
      <c r="K49" s="1336" t="s">
        <v>175</v>
      </c>
      <c r="L49" s="1338">
        <f>L47+7</f>
        <v>43633</v>
      </c>
      <c r="M49" s="1308" t="s">
        <v>237</v>
      </c>
      <c r="N49" s="1301" t="str">
        <f>VLOOKUP((LEFT(M49,3)),'ships name'!A:C,2,0)</f>
        <v>MOL MAJESTY</v>
      </c>
      <c r="O49" s="1189" t="str">
        <f>RIGHT(M49,3)&amp;"E"</f>
        <v>041E</v>
      </c>
      <c r="P49" s="1319">
        <f>J49+36</f>
        <v>43660</v>
      </c>
      <c r="Q49" s="1287">
        <f>J49+37</f>
        <v>43661</v>
      </c>
      <c r="R49" s="1287">
        <f>J49+39</f>
        <v>43663</v>
      </c>
      <c r="S49" s="1287">
        <f>J49+40</f>
        <v>43664</v>
      </c>
      <c r="T49" s="1315">
        <f>J49+43</f>
        <v>43667</v>
      </c>
      <c r="V49" s="223"/>
    </row>
    <row r="50" spans="1:24" s="103" customFormat="1" ht="19.899999999999999" hidden="1" customHeight="1">
      <c r="A50" s="1400"/>
      <c r="B50" s="1410"/>
      <c r="C50" s="156" t="e">
        <f>VLOOKUP(B49,'ships name'!A:D,3,FALSE)</f>
        <v>#N/A</v>
      </c>
      <c r="D50" s="747"/>
      <c r="E50" s="1337"/>
      <c r="F50" s="1368"/>
      <c r="G50" s="754"/>
      <c r="H50" s="1368"/>
      <c r="I50" s="1368"/>
      <c r="J50" s="1368"/>
      <c r="K50" s="1337"/>
      <c r="L50" s="1339"/>
      <c r="M50" s="1307"/>
      <c r="N50" s="1309"/>
      <c r="O50" s="1189"/>
      <c r="P50" s="1319"/>
      <c r="Q50" s="1287"/>
      <c r="R50" s="1287"/>
      <c r="S50" s="1287"/>
      <c r="T50" s="1315"/>
      <c r="V50" s="223"/>
    </row>
    <row r="51" spans="1:24" s="103" customFormat="1" ht="19.899999999999999" hidden="1" customHeight="1">
      <c r="A51" s="1401">
        <f>IA!A12</f>
        <v>24</v>
      </c>
      <c r="B51" s="1339">
        <f>IA!B12</f>
        <v>0</v>
      </c>
      <c r="C51" s="156" t="e">
        <f>VLOOKUP(B51,'ships name'!A:D,2,FALSE)</f>
        <v>#N/A</v>
      </c>
      <c r="D51" s="747"/>
      <c r="E51" s="1337"/>
      <c r="F51" s="1347"/>
      <c r="G51" s="755"/>
      <c r="H51" s="1347">
        <f>IA!H12</f>
        <v>43629</v>
      </c>
      <c r="I51" s="1347">
        <f>IA!I12</f>
        <v>43630</v>
      </c>
      <c r="J51" s="1347">
        <f>IA!J12</f>
        <v>43631</v>
      </c>
      <c r="K51" s="1336" t="s">
        <v>175</v>
      </c>
      <c r="L51" s="1338">
        <f>L49+7</f>
        <v>43640</v>
      </c>
      <c r="M51" s="1301" t="s">
        <v>238</v>
      </c>
      <c r="N51" s="1301" t="str">
        <f>VLOOKUP((LEFT(M51,3)),'ships name'!A:C,2,0)</f>
        <v>MOL MODERN</v>
      </c>
      <c r="O51" s="1189" t="str">
        <f>RIGHT(M51,3)&amp;"E"</f>
        <v>035E</v>
      </c>
      <c r="P51" s="1319">
        <f>J51+36</f>
        <v>43667</v>
      </c>
      <c r="Q51" s="1287">
        <f>J51+37</f>
        <v>43668</v>
      </c>
      <c r="R51" s="1287">
        <f>J51+39</f>
        <v>43670</v>
      </c>
      <c r="S51" s="1287">
        <f>J51+40</f>
        <v>43671</v>
      </c>
      <c r="T51" s="1315">
        <f>J51+43</f>
        <v>43674</v>
      </c>
      <c r="V51" s="223"/>
    </row>
    <row r="52" spans="1:24" s="103" customFormat="1" ht="19.899999999999999" hidden="1" customHeight="1">
      <c r="A52" s="1402"/>
      <c r="B52" s="1339"/>
      <c r="C52" s="156" t="e">
        <f>VLOOKUP(B51,'ships name'!A:D,3,FALSE)</f>
        <v>#N/A</v>
      </c>
      <c r="D52" s="747"/>
      <c r="E52" s="1337"/>
      <c r="F52" s="1368"/>
      <c r="G52" s="754"/>
      <c r="H52" s="1368"/>
      <c r="I52" s="1368"/>
      <c r="J52" s="1368"/>
      <c r="K52" s="1337"/>
      <c r="L52" s="1339"/>
      <c r="M52" s="1309"/>
      <c r="N52" s="1309"/>
      <c r="O52" s="1189"/>
      <c r="P52" s="1319"/>
      <c r="Q52" s="1287"/>
      <c r="R52" s="1287"/>
      <c r="S52" s="1287"/>
      <c r="T52" s="1315"/>
      <c r="U52" s="223"/>
      <c r="V52" s="223"/>
    </row>
    <row r="53" spans="1:24" s="211" customFormat="1" ht="19.899999999999999" hidden="1" customHeight="1">
      <c r="A53" s="1401">
        <f>IA!A13</f>
        <v>25</v>
      </c>
      <c r="B53" s="1339">
        <f>IA!B13</f>
        <v>0</v>
      </c>
      <c r="C53" s="227" t="e">
        <f>VLOOKUP(B53,'ships name'!A:C,2,FALSE)</f>
        <v>#N/A</v>
      </c>
      <c r="D53" s="749"/>
      <c r="E53" s="1337"/>
      <c r="F53" s="1301"/>
      <c r="G53" s="756"/>
      <c r="H53" s="1347">
        <f>I53-1</f>
        <v>43636</v>
      </c>
      <c r="I53" s="1347">
        <f>J53-1</f>
        <v>43637</v>
      </c>
      <c r="J53" s="1347">
        <f>J51+7</f>
        <v>43638</v>
      </c>
      <c r="K53" s="1338" t="s">
        <v>239</v>
      </c>
      <c r="L53" s="1338">
        <f>L51+7</f>
        <v>43647</v>
      </c>
      <c r="M53" s="1301" t="s">
        <v>240</v>
      </c>
      <c r="N53" s="1301" t="str">
        <f>VLOOKUP((LEFT(M53,3)),'ships name'!A:C,2,0)</f>
        <v>MOL MAESTRO</v>
      </c>
      <c r="O53" s="1189" t="str">
        <f>RIGHT(M53,3)&amp;"E"</f>
        <v>037E</v>
      </c>
      <c r="P53" s="1320">
        <f>J53+36</f>
        <v>43674</v>
      </c>
      <c r="Q53" s="1285">
        <f>J53+37</f>
        <v>43675</v>
      </c>
      <c r="R53" s="1285">
        <f>J53+39</f>
        <v>43677</v>
      </c>
      <c r="S53" s="1285">
        <f>J53+40</f>
        <v>43678</v>
      </c>
      <c r="T53" s="1316">
        <f>J53+43</f>
        <v>43681</v>
      </c>
      <c r="U53" s="275"/>
      <c r="V53" s="275"/>
    </row>
    <row r="54" spans="1:24" s="211" customFormat="1" ht="19.899999999999999" hidden="1" customHeight="1">
      <c r="A54" s="1402"/>
      <c r="B54" s="1339"/>
      <c r="C54" s="227" t="e">
        <f>VLOOKUP(B53,'ships name'!A:C,3,FALSE)</f>
        <v>#N/A</v>
      </c>
      <c r="D54" s="749"/>
      <c r="E54" s="1337"/>
      <c r="F54" s="1309"/>
      <c r="G54" s="757"/>
      <c r="H54" s="1368"/>
      <c r="I54" s="1368"/>
      <c r="J54" s="1368"/>
      <c r="K54" s="1339"/>
      <c r="L54" s="1339"/>
      <c r="M54" s="1309"/>
      <c r="N54" s="1309"/>
      <c r="O54" s="1189"/>
      <c r="P54" s="1320"/>
      <c r="Q54" s="1285"/>
      <c r="R54" s="1285"/>
      <c r="S54" s="1285"/>
      <c r="T54" s="1316"/>
      <c r="U54" s="275"/>
      <c r="V54" s="275"/>
    </row>
    <row r="55" spans="1:24" s="211" customFormat="1" ht="19.899999999999999" hidden="1" customHeight="1">
      <c r="A55" s="1401">
        <f>IA!A14</f>
        <v>26</v>
      </c>
      <c r="B55" s="1339">
        <f>IA!B14</f>
        <v>0</v>
      </c>
      <c r="C55" s="227" t="e">
        <f>VLOOKUP(B55,'ships name'!A:C,2,FALSE)</f>
        <v>#N/A</v>
      </c>
      <c r="D55" s="749"/>
      <c r="E55" s="1337"/>
      <c r="F55" s="1301"/>
      <c r="G55" s="756"/>
      <c r="H55" s="1347">
        <f>I55-1</f>
        <v>43643</v>
      </c>
      <c r="I55" s="1347">
        <f>J55-1</f>
        <v>43644</v>
      </c>
      <c r="J55" s="1347">
        <f>J53+7</f>
        <v>43645</v>
      </c>
      <c r="K55" s="1338" t="s">
        <v>239</v>
      </c>
      <c r="L55" s="1338">
        <f>L53+7</f>
        <v>43654</v>
      </c>
      <c r="M55" s="1301"/>
      <c r="N55" s="1301" t="e">
        <f>VLOOKUP((LEFT(M55,3)),'ships name'!A:C,2,0)</f>
        <v>#N/A</v>
      </c>
      <c r="O55" s="1189" t="str">
        <f>RIGHT(M55,3)&amp;"E"</f>
        <v>E</v>
      </c>
      <c r="P55" s="1319">
        <f>J55+36</f>
        <v>43681</v>
      </c>
      <c r="Q55" s="1287">
        <f>J55+37</f>
        <v>43682</v>
      </c>
      <c r="R55" s="1287">
        <f>J55+39</f>
        <v>43684</v>
      </c>
      <c r="S55" s="1287">
        <f>J55+40</f>
        <v>43685</v>
      </c>
      <c r="T55" s="1315">
        <f>J55+43</f>
        <v>43688</v>
      </c>
      <c r="U55" s="275"/>
      <c r="V55" s="275"/>
    </row>
    <row r="56" spans="1:24" s="211" customFormat="1" ht="19.899999999999999" hidden="1" customHeight="1">
      <c r="A56" s="1408"/>
      <c r="B56" s="1346"/>
      <c r="C56" s="264" t="e">
        <f>VLOOKUP(B55,'ships name'!A:C,3,FALSE)</f>
        <v>#N/A</v>
      </c>
      <c r="D56" s="750"/>
      <c r="E56" s="1415"/>
      <c r="F56" s="1302"/>
      <c r="G56" s="555"/>
      <c r="H56" s="1348"/>
      <c r="I56" s="1348"/>
      <c r="J56" s="1348"/>
      <c r="K56" s="1346"/>
      <c r="L56" s="1346"/>
      <c r="M56" s="1302"/>
      <c r="N56" s="1302"/>
      <c r="O56" s="1193"/>
      <c r="P56" s="1321"/>
      <c r="Q56" s="1310"/>
      <c r="R56" s="1310"/>
      <c r="S56" s="1310"/>
      <c r="T56" s="1317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41" t="s">
        <v>241</v>
      </c>
      <c r="B58" s="1242"/>
      <c r="C58" s="1242"/>
      <c r="D58" s="508"/>
      <c r="E58" s="1387" t="e">
        <f>LT!#REF!</f>
        <v>#REF!</v>
      </c>
      <c r="F58" s="1387"/>
      <c r="G58" s="534"/>
      <c r="H58" s="1328" t="e">
        <f>LT!#REF!</f>
        <v>#REF!</v>
      </c>
      <c r="I58" s="1328"/>
      <c r="J58" s="1328"/>
      <c r="K58" s="1328"/>
      <c r="L58" s="1328"/>
      <c r="M58" s="1328"/>
      <c r="N58" s="1328"/>
      <c r="O58" s="1328"/>
      <c r="P58" s="1322" t="s">
        <v>2</v>
      </c>
      <c r="Q58" s="1323"/>
      <c r="R58" s="1323"/>
      <c r="S58" s="1323"/>
      <c r="T58" s="1324"/>
      <c r="U58" s="276"/>
      <c r="V58" s="276"/>
      <c r="W58" s="276"/>
      <c r="X58" s="276"/>
    </row>
    <row r="59" spans="1:24" s="103" customFormat="1" ht="19.899999999999999" hidden="1" customHeight="1">
      <c r="A59" s="1395" t="s">
        <v>3</v>
      </c>
      <c r="B59" s="1397" t="s">
        <v>4</v>
      </c>
      <c r="C59" s="1397" t="s">
        <v>5</v>
      </c>
      <c r="D59" s="542"/>
      <c r="E59" s="1389" t="s">
        <v>6</v>
      </c>
      <c r="F59" s="1390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03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96"/>
      <c r="B60" s="1283"/>
      <c r="C60" s="1283"/>
      <c r="D60" s="746"/>
      <c r="E60" s="1283" t="e">
        <f>LT!#REF!</f>
        <v>#REF!</v>
      </c>
      <c r="F60" s="1283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83" t="s">
        <v>45</v>
      </c>
      <c r="L60" s="230" t="s">
        <v>46</v>
      </c>
      <c r="M60" s="1304"/>
      <c r="N60" s="1303" t="s">
        <v>169</v>
      </c>
      <c r="O60" s="1291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405"/>
      <c r="B61" s="1345"/>
      <c r="C61" s="1345"/>
      <c r="D61" s="474"/>
      <c r="E61" s="1345"/>
      <c r="F61" s="1345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45"/>
      <c r="L61" s="267" t="s">
        <v>22</v>
      </c>
      <c r="M61" s="1305"/>
      <c r="N61" s="1305"/>
      <c r="O61" s="1292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95" t="e">
        <f>LT!#REF!</f>
        <v>#REF!</v>
      </c>
      <c r="B62" s="1406" t="e">
        <f>LT!#REF!</f>
        <v>#REF!</v>
      </c>
      <c r="C62" s="265" t="e">
        <f>VLOOKUP(B62,'ships name'!A:D,2,FALSE)</f>
        <v>#REF!</v>
      </c>
      <c r="D62" s="265"/>
      <c r="E62" s="1416" t="e">
        <f>LT!#REF!</f>
        <v>#REF!</v>
      </c>
      <c r="F62" s="1331" t="e">
        <f>LT!#REF!</f>
        <v>#REF!</v>
      </c>
      <c r="G62" s="545"/>
      <c r="H62" s="1331" t="e">
        <f>LT!#REF!</f>
        <v>#REF!</v>
      </c>
      <c r="I62" s="1331" t="e">
        <f>LT!#REF!</f>
        <v>#REF!</v>
      </c>
      <c r="J62" s="1349" t="e">
        <f>LT!#REF!</f>
        <v>#REF!</v>
      </c>
      <c r="K62" s="1282" t="s">
        <v>239</v>
      </c>
      <c r="L62" s="1367" t="e">
        <f>J62+9</f>
        <v>#REF!</v>
      </c>
      <c r="M62" s="1306" t="s">
        <v>243</v>
      </c>
      <c r="N62" s="1331" t="str">
        <f>VLOOKUP((LEFT(M62,3)),'ships name'!A:C,2,0)</f>
        <v>MOL MAXIM</v>
      </c>
      <c r="O62" s="1233" t="str">
        <f>RIGHT(M62,3)&amp;"E"</f>
        <v>031E</v>
      </c>
      <c r="P62" s="1318" t="e">
        <f>J62+30</f>
        <v>#REF!</v>
      </c>
      <c r="Q62" s="1286" t="e">
        <f>P62+2</f>
        <v>#REF!</v>
      </c>
      <c r="R62" s="1286" t="e">
        <f>Q62+1</f>
        <v>#REF!</v>
      </c>
      <c r="S62" s="1286" t="e">
        <f>R62+1</f>
        <v>#REF!</v>
      </c>
      <c r="T62" s="1314" t="e">
        <f>S62+3</f>
        <v>#REF!</v>
      </c>
      <c r="U62" s="1280"/>
      <c r="V62" s="1280"/>
    </row>
    <row r="63" spans="1:24" s="103" customFormat="1" ht="19.899999999999999" hidden="1" customHeight="1">
      <c r="A63" s="1396"/>
      <c r="B63" s="1342"/>
      <c r="C63" s="106" t="e">
        <f>VLOOKUP(B62,'ships name'!A:D,3,FALSE)</f>
        <v>#REF!</v>
      </c>
      <c r="D63" s="439"/>
      <c r="E63" s="1332"/>
      <c r="F63" s="1332"/>
      <c r="G63" s="758"/>
      <c r="H63" s="1332"/>
      <c r="I63" s="1332"/>
      <c r="J63" s="1350"/>
      <c r="K63" s="1283"/>
      <c r="L63" s="1340"/>
      <c r="M63" s="1307"/>
      <c r="N63" s="1332"/>
      <c r="O63" s="1195"/>
      <c r="P63" s="1319"/>
      <c r="Q63" s="1287"/>
      <c r="R63" s="1287"/>
      <c r="S63" s="1287"/>
      <c r="T63" s="1315"/>
      <c r="U63" s="1281"/>
      <c r="V63" s="1281"/>
    </row>
    <row r="64" spans="1:24" s="103" customFormat="1" ht="19.899999999999999" hidden="1" customHeight="1">
      <c r="A64" s="1395" t="e">
        <f>LT!#REF!</f>
        <v>#REF!</v>
      </c>
      <c r="B64" s="1406" t="e">
        <f>LT!#REF!</f>
        <v>#REF!</v>
      </c>
      <c r="C64" s="266" t="e">
        <f>VLOOKUP(B64,'ships name'!A:D,2,FALSE)</f>
        <v>#REF!</v>
      </c>
      <c r="D64" s="265"/>
      <c r="E64" s="1416" t="e">
        <f>LT!#REF!</f>
        <v>#REF!</v>
      </c>
      <c r="F64" s="1331" t="e">
        <f>LT!#REF!</f>
        <v>#REF!</v>
      </c>
      <c r="G64" s="545"/>
      <c r="H64" s="1331" t="e">
        <f>LT!#REF!</f>
        <v>#REF!</v>
      </c>
      <c r="I64" s="1331" t="e">
        <f>LT!#REF!</f>
        <v>#REF!</v>
      </c>
      <c r="J64" s="1349" t="e">
        <f>LT!#REF!</f>
        <v>#REF!</v>
      </c>
      <c r="K64" s="1284" t="s">
        <v>239</v>
      </c>
      <c r="L64" s="1287" t="e">
        <f>L62+7</f>
        <v>#REF!</v>
      </c>
      <c r="M64" s="1308" t="s">
        <v>244</v>
      </c>
      <c r="N64" s="1331" t="str">
        <f>VLOOKUP((LEFT(M64,3)),'ships name'!A:C,2,0)</f>
        <v>MOL MAJESTY</v>
      </c>
      <c r="O64" s="1233" t="str">
        <f>RIGHT(M64,3)&amp;"E"</f>
        <v>038E</v>
      </c>
      <c r="P64" s="1319" t="e">
        <f>J64+30</f>
        <v>#REF!</v>
      </c>
      <c r="Q64" s="1287" t="e">
        <f>P64+2</f>
        <v>#REF!</v>
      </c>
      <c r="R64" s="1287" t="e">
        <f>Q64+1</f>
        <v>#REF!</v>
      </c>
      <c r="S64" s="1287" t="e">
        <f>R64+1</f>
        <v>#REF!</v>
      </c>
      <c r="T64" s="1315" t="e">
        <f>S64+3</f>
        <v>#REF!</v>
      </c>
      <c r="U64" s="1280"/>
      <c r="V64" s="1280"/>
    </row>
    <row r="65" spans="1:22" s="103" customFormat="1" ht="19.899999999999999" hidden="1" customHeight="1">
      <c r="A65" s="1396"/>
      <c r="B65" s="1342"/>
      <c r="C65" s="106" t="e">
        <f>VLOOKUP(B64,'ships name'!A:D,3,FALSE)</f>
        <v>#REF!</v>
      </c>
      <c r="D65" s="439"/>
      <c r="E65" s="1332"/>
      <c r="F65" s="1332"/>
      <c r="G65" s="758"/>
      <c r="H65" s="1332"/>
      <c r="I65" s="1332"/>
      <c r="J65" s="1350"/>
      <c r="K65" s="1283"/>
      <c r="L65" s="1340"/>
      <c r="M65" s="1307"/>
      <c r="N65" s="1332"/>
      <c r="O65" s="1195"/>
      <c r="P65" s="1319"/>
      <c r="Q65" s="1287"/>
      <c r="R65" s="1287"/>
      <c r="S65" s="1287"/>
      <c r="T65" s="1315"/>
      <c r="U65" s="1281"/>
      <c r="V65" s="1281"/>
    </row>
    <row r="66" spans="1:22" s="103" customFormat="1" ht="19.899999999999999" hidden="1" customHeight="1">
      <c r="A66" s="1395" t="e">
        <f>LT!#REF!</f>
        <v>#REF!</v>
      </c>
      <c r="B66" s="1392" t="e">
        <f>LT!#REF!</f>
        <v>#REF!</v>
      </c>
      <c r="C66" s="110" t="e">
        <f>VLOOKUP(B66,'ships name'!A:D,2,FALSE)</f>
        <v>#REF!</v>
      </c>
      <c r="D66" s="493"/>
      <c r="E66" s="1392" t="e">
        <f>LT!#REF!</f>
        <v>#REF!</v>
      </c>
      <c r="F66" s="1331" t="e">
        <f>LT!#REF!</f>
        <v>#REF!</v>
      </c>
      <c r="G66" s="545"/>
      <c r="H66" s="1331" t="e">
        <f>LT!#REF!</f>
        <v>#REF!</v>
      </c>
      <c r="I66" s="1331" t="e">
        <f>LT!#REF!</f>
        <v>#REF!</v>
      </c>
      <c r="J66" s="1349" t="e">
        <f>LT!#REF!</f>
        <v>#REF!</v>
      </c>
      <c r="K66" s="1284" t="s">
        <v>239</v>
      </c>
      <c r="L66" s="1287" t="e">
        <f>L64+7</f>
        <v>#REF!</v>
      </c>
      <c r="M66" s="1301" t="s">
        <v>245</v>
      </c>
      <c r="N66" s="1331" t="str">
        <f>VLOOKUP((LEFT(M66,3)),'ships name'!A:C,2,0)</f>
        <v>MOL MODERN</v>
      </c>
      <c r="O66" s="1233" t="str">
        <f>RIGHT(M66,3)&amp;"E"</f>
        <v>032E</v>
      </c>
      <c r="P66" s="1319" t="e">
        <f>J66+30</f>
        <v>#REF!</v>
      </c>
      <c r="Q66" s="1287" t="e">
        <f>P66+2</f>
        <v>#REF!</v>
      </c>
      <c r="R66" s="1287" t="e">
        <f>Q66+1</f>
        <v>#REF!</v>
      </c>
      <c r="S66" s="1287" t="e">
        <f>R66+1</f>
        <v>#REF!</v>
      </c>
      <c r="T66" s="1315" t="e">
        <f>S66+3</f>
        <v>#REF!</v>
      </c>
      <c r="U66" s="1280"/>
      <c r="V66" s="1280"/>
    </row>
    <row r="67" spans="1:22" s="103" customFormat="1" ht="19.899999999999999" hidden="1" customHeight="1">
      <c r="A67" s="1396"/>
      <c r="B67" s="1307"/>
      <c r="C67" s="109" t="e">
        <f>VLOOKUP(B66,'ships name'!A:D,3,FALSE)</f>
        <v>#REF!</v>
      </c>
      <c r="D67" s="499"/>
      <c r="E67" s="1307"/>
      <c r="F67" s="1332"/>
      <c r="G67" s="758"/>
      <c r="H67" s="1332"/>
      <c r="I67" s="1332"/>
      <c r="J67" s="1350"/>
      <c r="K67" s="1283"/>
      <c r="L67" s="1340"/>
      <c r="M67" s="1309"/>
      <c r="N67" s="1332"/>
      <c r="O67" s="1195"/>
      <c r="P67" s="1319"/>
      <c r="Q67" s="1287"/>
      <c r="R67" s="1287"/>
      <c r="S67" s="1287"/>
      <c r="T67" s="1315"/>
      <c r="U67" s="1281"/>
      <c r="V67" s="1281"/>
    </row>
    <row r="68" spans="1:22" s="103" customFormat="1" ht="19.899999999999999" hidden="1" customHeight="1">
      <c r="A68" s="1395" t="e">
        <f>LT!#REF!</f>
        <v>#REF!</v>
      </c>
      <c r="B68" s="1392" t="e">
        <f>LT!#REF!</f>
        <v>#REF!</v>
      </c>
      <c r="C68" s="220" t="e">
        <f>VLOOKUP(B68,'ships name'!A:C,2,FALSE)</f>
        <v>#REF!</v>
      </c>
      <c r="D68" s="531"/>
      <c r="E68" s="1413" t="e">
        <f>LT!#REF!</f>
        <v>#REF!</v>
      </c>
      <c r="F68" s="1333" t="e">
        <f>LT!#REF!</f>
        <v>#REF!</v>
      </c>
      <c r="G68" s="546"/>
      <c r="H68" s="1333" t="e">
        <f>LT!#REF!</f>
        <v>#REF!</v>
      </c>
      <c r="I68" s="1333" t="e">
        <f>LT!#REF!</f>
        <v>#REF!</v>
      </c>
      <c r="J68" s="1351" t="e">
        <f>LT!#REF!</f>
        <v>#REF!</v>
      </c>
      <c r="K68" s="1341" t="s">
        <v>239</v>
      </c>
      <c r="L68" s="1285" t="e">
        <f>L66+7</f>
        <v>#REF!</v>
      </c>
      <c r="M68" s="1301" t="s">
        <v>246</v>
      </c>
      <c r="N68" s="1333" t="str">
        <f>VLOOKUP((LEFT(M68,3)),'ships name'!A:C,2,0)</f>
        <v>MOL MAESTRO</v>
      </c>
      <c r="O68" s="1325" t="str">
        <f>RIGHT(M68,3)&amp;"E"</f>
        <v>034E</v>
      </c>
      <c r="P68" s="1320" t="e">
        <f>J68+30</f>
        <v>#REF!</v>
      </c>
      <c r="Q68" s="1285" t="e">
        <f>P68+2</f>
        <v>#REF!</v>
      </c>
      <c r="R68" s="1285" t="e">
        <f>Q68+1</f>
        <v>#REF!</v>
      </c>
      <c r="S68" s="1285" t="e">
        <f>R68+1</f>
        <v>#REF!</v>
      </c>
      <c r="T68" s="1316" t="e">
        <f>S68+3</f>
        <v>#REF!</v>
      </c>
      <c r="U68" s="1299"/>
      <c r="V68" s="1280"/>
    </row>
    <row r="69" spans="1:22" s="103" customFormat="1" ht="19.899999999999999" hidden="1" customHeight="1">
      <c r="A69" s="1396"/>
      <c r="B69" s="1307"/>
      <c r="C69" s="220" t="e">
        <f>VLOOKUP(B68,'ships name'!A:C,3,FALSE)</f>
        <v>#REF!</v>
      </c>
      <c r="D69" s="531"/>
      <c r="E69" s="1414"/>
      <c r="F69" s="1334"/>
      <c r="G69" s="759"/>
      <c r="H69" s="1334"/>
      <c r="I69" s="1334"/>
      <c r="J69" s="1352"/>
      <c r="K69" s="1342"/>
      <c r="L69" s="1358"/>
      <c r="M69" s="1309"/>
      <c r="N69" s="1334"/>
      <c r="O69" s="1185"/>
      <c r="P69" s="1320"/>
      <c r="Q69" s="1285"/>
      <c r="R69" s="1285"/>
      <c r="S69" s="1285"/>
      <c r="T69" s="1316"/>
      <c r="U69" s="1300"/>
      <c r="V69" s="1281"/>
    </row>
    <row r="70" spans="1:22" s="103" customFormat="1" ht="19.899999999999999" hidden="1" customHeight="1">
      <c r="A70" s="1396" t="e">
        <f>LT!#REF!</f>
        <v>#REF!</v>
      </c>
      <c r="B70" s="1407" t="e">
        <f>LT!#REF!</f>
        <v>#REF!</v>
      </c>
      <c r="C70" s="220" t="e">
        <f>VLOOKUP(B70,'ships name'!A:C,2,FALSE)</f>
        <v>#REF!</v>
      </c>
      <c r="D70" s="531"/>
      <c r="E70" s="1309" t="e">
        <f>LT!#REF!</f>
        <v>#REF!</v>
      </c>
      <c r="F70" s="1301" t="e">
        <f>LT!#REF!</f>
        <v>#REF!</v>
      </c>
      <c r="G70" s="756"/>
      <c r="H70" s="1301" t="e">
        <f>LT!#REF!</f>
        <v>#REF!</v>
      </c>
      <c r="I70" s="1301" t="e">
        <f>LT!#REF!</f>
        <v>#REF!</v>
      </c>
      <c r="J70" s="1301" t="e">
        <f>LT!#REF!</f>
        <v>#REF!</v>
      </c>
      <c r="K70" s="1343" t="s">
        <v>239</v>
      </c>
      <c r="L70" s="1287" t="e">
        <f>L68+7</f>
        <v>#REF!</v>
      </c>
      <c r="M70" s="1301" t="s">
        <v>247</v>
      </c>
      <c r="N70" s="1331" t="str">
        <f>VLOOKUP((LEFT(M70,3)),'ships name'!A:C,2,0)</f>
        <v>MOL MARVEL</v>
      </c>
      <c r="O70" s="1189" t="str">
        <f>RIGHT(M70,3)&amp;"E"</f>
        <v>033E</v>
      </c>
      <c r="P70" s="1319" t="e">
        <f>J70+30</f>
        <v>#REF!</v>
      </c>
      <c r="Q70" s="1287" t="e">
        <f>P70+2</f>
        <v>#REF!</v>
      </c>
      <c r="R70" s="1287" t="e">
        <f>Q70+1</f>
        <v>#REF!</v>
      </c>
      <c r="S70" s="1287" t="e">
        <f>R70+1</f>
        <v>#REF!</v>
      </c>
      <c r="T70" s="1315" t="e">
        <f>S70+3</f>
        <v>#REF!</v>
      </c>
      <c r="U70" s="1280"/>
      <c r="V70" s="1280"/>
    </row>
    <row r="71" spans="1:22" s="103" customFormat="1" ht="19.899999999999999" hidden="1" customHeight="1">
      <c r="A71" s="1405"/>
      <c r="B71" s="1344"/>
      <c r="C71" s="228" t="e">
        <f>VLOOKUP(B70,'ships name'!A:C,3,FALSE)</f>
        <v>#REF!</v>
      </c>
      <c r="D71" s="539"/>
      <c r="E71" s="1302"/>
      <c r="F71" s="1302"/>
      <c r="G71" s="555"/>
      <c r="H71" s="1302"/>
      <c r="I71" s="1302"/>
      <c r="J71" s="1302"/>
      <c r="K71" s="1344"/>
      <c r="L71" s="1359"/>
      <c r="M71" s="1302"/>
      <c r="N71" s="1335"/>
      <c r="O71" s="1193"/>
      <c r="P71" s="1321"/>
      <c r="Q71" s="1310"/>
      <c r="R71" s="1310"/>
      <c r="S71" s="1310"/>
      <c r="T71" s="1317"/>
      <c r="U71" s="1281"/>
      <c r="V71" s="1281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76" t="s">
        <v>4010</v>
      </c>
      <c r="B73" s="1277"/>
      <c r="C73" s="1277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76" t="s">
        <v>2</v>
      </c>
      <c r="L73" s="1170"/>
      <c r="M73" s="1171"/>
    </row>
    <row r="74" spans="1:22" ht="19.899999999999999" customHeight="1">
      <c r="A74" s="1274" t="s">
        <v>3</v>
      </c>
      <c r="B74" s="1271" t="s">
        <v>4</v>
      </c>
      <c r="C74" s="1271" t="s">
        <v>5</v>
      </c>
      <c r="D74" s="1153" t="s">
        <v>4291</v>
      </c>
      <c r="E74" s="1154" t="s">
        <v>6</v>
      </c>
      <c r="F74" s="1155"/>
      <c r="G74" s="1156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74"/>
      <c r="B75" s="1271"/>
      <c r="C75" s="1271"/>
      <c r="D75" s="1097"/>
      <c r="E75" s="1097" t="s">
        <v>13</v>
      </c>
      <c r="F75" s="1383" t="s">
        <v>14</v>
      </c>
      <c r="G75" s="1384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75"/>
      <c r="B76" s="1272"/>
      <c r="C76" s="1272"/>
      <c r="D76" s="1098"/>
      <c r="E76" s="1098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23</v>
      </c>
      <c r="B77" s="722" t="s">
        <v>4773</v>
      </c>
      <c r="C77" s="493" t="str">
        <f>VLOOKUP((LEFT(B77,3)),'ships name'!A:C,2,FALSE)</f>
        <v>CMA CGM AMERIGO VESPUCCI</v>
      </c>
      <c r="D77" s="812" t="str">
        <f>VLOOKUP(C77,'ships name'!B:C,2,FALSE)</f>
        <v>达飞韦斯普奇</v>
      </c>
      <c r="E77" s="611" t="str">
        <f>RIGHT(B77,3)&amp;"W"</f>
        <v>213W</v>
      </c>
      <c r="F77" s="611" t="str">
        <f t="shared" ref="F77" si="18">LEFT(G77,6)</f>
        <v>0MB35E</v>
      </c>
      <c r="G77" s="611" t="s">
        <v>4778</v>
      </c>
      <c r="H77" s="710">
        <f>J77-2</f>
        <v>43620</v>
      </c>
      <c r="I77" s="710">
        <f>J77</f>
        <v>43622</v>
      </c>
      <c r="J77" s="710">
        <v>43622</v>
      </c>
      <c r="K77" s="710">
        <f>J77+28</f>
        <v>43650</v>
      </c>
      <c r="L77" s="710">
        <f>J77+32</f>
        <v>43654</v>
      </c>
      <c r="M77" s="744">
        <f>J77+35</f>
        <v>43657</v>
      </c>
    </row>
    <row r="78" spans="1:22" ht="19.899999999999999" customHeight="1">
      <c r="A78" s="617">
        <f>A77+1</f>
        <v>24</v>
      </c>
      <c r="B78" s="733" t="s">
        <v>4774</v>
      </c>
      <c r="C78" s="499" t="str">
        <f>VLOOKUP((LEFT(B78,3)),'ships name'!A:C,2,FALSE)</f>
        <v>COSCO PRIDE</v>
      </c>
      <c r="D78" s="809" t="str">
        <f>VLOOKUP(C78,'ships name'!B:C,2,FALSE)</f>
        <v>中远自豪</v>
      </c>
      <c r="E78" s="580" t="str">
        <f>RIGHT(B78,3)&amp;"W"</f>
        <v>048W</v>
      </c>
      <c r="F78" s="580" t="str">
        <f>RIGHT(B78,3)&amp;"E"</f>
        <v>048E</v>
      </c>
      <c r="G78" s="580" t="s">
        <v>4779</v>
      </c>
      <c r="H78" s="716">
        <f t="shared" ref="H78:J81" si="19">H77+7</f>
        <v>43627</v>
      </c>
      <c r="I78" s="716">
        <f t="shared" si="19"/>
        <v>43629</v>
      </c>
      <c r="J78" s="716">
        <f t="shared" si="19"/>
        <v>43629</v>
      </c>
      <c r="K78" s="716">
        <f t="shared" ref="K78" si="20">J78+28</f>
        <v>43657</v>
      </c>
      <c r="L78" s="716">
        <f t="shared" ref="L78" si="21">J78+32</f>
        <v>43661</v>
      </c>
      <c r="M78" s="760">
        <f t="shared" ref="M78" si="22">J78+35</f>
        <v>43664</v>
      </c>
    </row>
    <row r="79" spans="1:22" ht="19.899999999999999" customHeight="1">
      <c r="A79" s="617">
        <f>A78+1</f>
        <v>25</v>
      </c>
      <c r="B79" s="733" t="s">
        <v>4775</v>
      </c>
      <c r="C79" s="499" t="str">
        <f>VLOOKUP((LEFT(B79,3)),'ships name'!A:C,2,FALSE)</f>
        <v>COSCO FAITH</v>
      </c>
      <c r="D79" s="809" t="str">
        <f>VLOOKUP(C79,'ships name'!B:C,2,FALSE)</f>
        <v>中远诚信</v>
      </c>
      <c r="E79" s="580" t="str">
        <f>RIGHT(B79,3)&amp;"W"</f>
        <v>040W</v>
      </c>
      <c r="F79" s="580" t="str">
        <f>RIGHT(B79,3)&amp;"E"</f>
        <v>040E</v>
      </c>
      <c r="G79" s="580" t="s">
        <v>4780</v>
      </c>
      <c r="H79" s="716">
        <f t="shared" si="19"/>
        <v>43634</v>
      </c>
      <c r="I79" s="716">
        <f t="shared" si="19"/>
        <v>43636</v>
      </c>
      <c r="J79" s="716">
        <f t="shared" si="19"/>
        <v>43636</v>
      </c>
      <c r="K79" s="716">
        <f t="shared" ref="K79" si="23">J79+28</f>
        <v>43664</v>
      </c>
      <c r="L79" s="716">
        <f t="shared" ref="L79" si="24">J79+32</f>
        <v>43668</v>
      </c>
      <c r="M79" s="760">
        <f t="shared" ref="M79" si="25">J79+35</f>
        <v>43671</v>
      </c>
    </row>
    <row r="80" spans="1:22" ht="19.899999999999999" customHeight="1">
      <c r="A80" s="617">
        <f>A79+1</f>
        <v>26</v>
      </c>
      <c r="B80" s="733" t="s">
        <v>4776</v>
      </c>
      <c r="C80" s="499" t="str">
        <f>VLOOKUP((LEFT(B80,3)),'ships name'!A:C,2,FALSE)</f>
        <v>COSCO SHIPPING JASMINE</v>
      </c>
      <c r="D80" s="809" t="str">
        <f>VLOOKUP(C80,'ships name'!B:C,2,FALSE)</f>
        <v xml:space="preserve"> </v>
      </c>
      <c r="E80" s="580" t="str">
        <f>RIGHT(B80,3)&amp;"W"</f>
        <v>005W</v>
      </c>
      <c r="F80" s="580" t="str">
        <f t="shared" ref="F80:F81" si="26">RIGHT(B80,3)&amp;"E"</f>
        <v>005E</v>
      </c>
      <c r="G80" s="580" t="s">
        <v>4781</v>
      </c>
      <c r="H80" s="753">
        <f t="shared" si="19"/>
        <v>43641</v>
      </c>
      <c r="I80" s="716">
        <f t="shared" si="19"/>
        <v>43643</v>
      </c>
      <c r="J80" s="716">
        <f t="shared" si="19"/>
        <v>43643</v>
      </c>
      <c r="K80" s="716">
        <f t="shared" ref="K80" si="27">J80+28</f>
        <v>43671</v>
      </c>
      <c r="L80" s="716">
        <f t="shared" ref="L80" si="28">J80+32</f>
        <v>43675</v>
      </c>
      <c r="M80" s="760">
        <f t="shared" ref="M80" si="29">J80+35</f>
        <v>43678</v>
      </c>
    </row>
    <row r="81" spans="1:15" ht="19.899999999999999" customHeight="1">
      <c r="A81" s="617">
        <f>A80+1</f>
        <v>27</v>
      </c>
      <c r="B81" s="733" t="s">
        <v>4777</v>
      </c>
      <c r="C81" s="499" t="str">
        <f>VLOOKUP((LEFT(B81,3)),'ships name'!A:C,2,FALSE)</f>
        <v>COSCO FORTUNE</v>
      </c>
      <c r="D81" s="809" t="str">
        <f>VLOOKUP(C81,'ships name'!B:C,2,FALSE)</f>
        <v>中远财富</v>
      </c>
      <c r="E81" s="580" t="str">
        <f>RIGHT(B81,3)&amp;"W"</f>
        <v>047W</v>
      </c>
      <c r="F81" s="580" t="str">
        <f t="shared" si="26"/>
        <v>047E</v>
      </c>
      <c r="G81" s="580" t="s">
        <v>4782</v>
      </c>
      <c r="H81" s="716">
        <f t="shared" si="19"/>
        <v>43648</v>
      </c>
      <c r="I81" s="716">
        <f t="shared" si="19"/>
        <v>43650</v>
      </c>
      <c r="J81" s="716">
        <f t="shared" si="19"/>
        <v>43650</v>
      </c>
      <c r="K81" s="716">
        <f t="shared" ref="K81" si="30">J81+28</f>
        <v>43678</v>
      </c>
      <c r="L81" s="716">
        <f t="shared" ref="L81" si="31">J81+32</f>
        <v>43682</v>
      </c>
      <c r="M81" s="760">
        <f t="shared" ref="M81" si="32">J81+35</f>
        <v>43685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zoomScale="85" zoomScaleNormal="85" workbookViewId="0">
      <selection activeCell="B11" sqref="B11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8" t="s">
        <v>0</v>
      </c>
      <c r="B2" s="1278"/>
      <c r="C2" s="1278"/>
      <c r="D2" s="1278"/>
      <c r="E2" s="1278"/>
      <c r="F2" s="1278"/>
      <c r="G2" s="1278"/>
      <c r="H2" s="1278"/>
      <c r="I2" s="1278"/>
      <c r="J2" s="1278"/>
      <c r="K2" s="1278"/>
      <c r="L2" s="1278"/>
      <c r="M2" s="210"/>
    </row>
    <row r="3" spans="1:17" ht="28.15" customHeight="1">
      <c r="A3" s="1122"/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210"/>
    </row>
    <row r="4" spans="1:17" s="210" customFormat="1" ht="28.15" customHeight="1">
      <c r="A4" s="1278" t="str">
        <f>IA!A4</f>
        <v>2019年06月船期表</v>
      </c>
      <c r="B4" s="1278"/>
      <c r="C4" s="1278"/>
      <c r="D4" s="1278"/>
      <c r="E4" s="1278"/>
      <c r="F4" s="1278"/>
      <c r="G4" s="1278"/>
      <c r="H4" s="1278"/>
      <c r="I4" s="1278"/>
      <c r="J4" s="1278"/>
      <c r="K4" s="1278"/>
      <c r="L4" s="1278"/>
    </row>
    <row r="5" spans="1:17" s="103" customFormat="1" ht="19.899999999999999" customHeight="1" thickBot="1">
      <c r="A5" s="101"/>
    </row>
    <row r="6" spans="1:17" s="100" customFormat="1" ht="25.9" customHeight="1" thickBot="1">
      <c r="A6" s="1214" t="s">
        <v>4228</v>
      </c>
      <c r="B6" s="1215"/>
      <c r="C6" s="1215"/>
      <c r="D6" s="550"/>
      <c r="E6" s="1255" t="s">
        <v>4229</v>
      </c>
      <c r="F6" s="1255"/>
      <c r="G6" s="551"/>
      <c r="H6" s="1255" t="s">
        <v>250</v>
      </c>
      <c r="I6" s="1255" t="s">
        <v>493</v>
      </c>
      <c r="J6" s="1444"/>
      <c r="K6" s="1419" t="s">
        <v>2</v>
      </c>
      <c r="L6" s="1420"/>
      <c r="M6" s="1420"/>
    </row>
    <row r="7" spans="1:17" s="103" customFormat="1" ht="19.899999999999999" customHeight="1">
      <c r="A7" s="1229" t="s">
        <v>3</v>
      </c>
      <c r="B7" s="1254" t="s">
        <v>4</v>
      </c>
      <c r="C7" s="1254" t="s">
        <v>5</v>
      </c>
      <c r="D7" s="1153" t="s">
        <v>4291</v>
      </c>
      <c r="E7" s="1154" t="s">
        <v>6</v>
      </c>
      <c r="F7" s="1155"/>
      <c r="G7" s="1156"/>
      <c r="H7" s="514" t="s">
        <v>7</v>
      </c>
      <c r="I7" s="514" t="s">
        <v>8</v>
      </c>
      <c r="J7" s="514" t="s">
        <v>9</v>
      </c>
      <c r="K7" s="1441" t="s">
        <v>4135</v>
      </c>
      <c r="L7" s="1442"/>
      <c r="M7" s="1071"/>
      <c r="N7" s="1440"/>
    </row>
    <row r="8" spans="1:17" s="103" customFormat="1" ht="19.899999999999999" customHeight="1">
      <c r="A8" s="1428"/>
      <c r="B8" s="1430"/>
      <c r="C8" s="1430"/>
      <c r="D8" s="1097"/>
      <c r="E8" s="1243" t="s">
        <v>13</v>
      </c>
      <c r="F8" s="1453" t="s">
        <v>14</v>
      </c>
      <c r="G8" s="1454"/>
      <c r="H8" s="439" t="s">
        <v>15</v>
      </c>
      <c r="I8" s="439" t="s">
        <v>16</v>
      </c>
      <c r="J8" s="439" t="s">
        <v>17</v>
      </c>
      <c r="K8" s="1417" t="s">
        <v>4136</v>
      </c>
      <c r="L8" s="1418"/>
      <c r="M8" s="1072" t="s">
        <v>4137</v>
      </c>
      <c r="N8" s="1440"/>
    </row>
    <row r="9" spans="1:17" s="103" customFormat="1" ht="19.899999999999999" customHeight="1" thickBot="1">
      <c r="A9" s="1429"/>
      <c r="B9" s="1431"/>
      <c r="C9" s="1431"/>
      <c r="D9" s="1098"/>
      <c r="E9" s="1223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31"/>
      <c r="L9" s="1431"/>
      <c r="M9" s="1067"/>
      <c r="N9" s="1440"/>
    </row>
    <row r="10" spans="1:17" s="103" customFormat="1" ht="19.5" customHeight="1">
      <c r="A10" s="537">
        <v>23</v>
      </c>
      <c r="B10" s="531" t="s">
        <v>4788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0MQ2IE</v>
      </c>
      <c r="F10" s="501" t="str">
        <f>LEFT(G10,6)</f>
        <v>0MQ2IE</v>
      </c>
      <c r="G10" s="501" t="s">
        <v>4783</v>
      </c>
      <c r="H10" s="501">
        <f>I10-1</f>
        <v>43620</v>
      </c>
      <c r="I10" s="501">
        <f>J10-1</f>
        <v>43621</v>
      </c>
      <c r="J10" s="501">
        <v>43622</v>
      </c>
      <c r="K10" s="1205">
        <f>J10+12</f>
        <v>43634</v>
      </c>
      <c r="L10" s="1205"/>
      <c r="M10" s="1073">
        <f>J10+20</f>
        <v>43642</v>
      </c>
      <c r="N10" s="771"/>
    </row>
    <row r="11" spans="1:17" s="103" customFormat="1" ht="19.899999999999999" customHeight="1">
      <c r="A11" s="774">
        <f>A10+1</f>
        <v>24</v>
      </c>
      <c r="B11" s="538" t="s">
        <v>4923</v>
      </c>
      <c r="C11" s="499" t="str">
        <f>VLOOKUP((LEFT(B11,3)),'ships name'!A:C,2,FALSE)</f>
        <v>NIKOS P</v>
      </c>
      <c r="D11" s="809" t="str">
        <f>VLOOKUP(C11,'ships name'!B:C,2,FALSE)</f>
        <v xml:space="preserve"> </v>
      </c>
      <c r="E11" s="945" t="str">
        <f t="shared" ref="E11:E14" si="0">F11</f>
        <v>0MQ2KE</v>
      </c>
      <c r="F11" s="945" t="str">
        <f t="shared" ref="F11:F14" si="1">LEFT(G11,6)</f>
        <v>0MQ2KE</v>
      </c>
      <c r="G11" s="1084" t="s">
        <v>4784</v>
      </c>
      <c r="H11" s="487">
        <f t="shared" ref="H11" si="2">I11-1</f>
        <v>43627</v>
      </c>
      <c r="I11" s="487">
        <f t="shared" ref="I11:J14" si="3">I10+7</f>
        <v>43628</v>
      </c>
      <c r="J11" s="487">
        <f t="shared" si="3"/>
        <v>43629</v>
      </c>
      <c r="K11" s="1443">
        <f t="shared" ref="K11" si="4">J11+12</f>
        <v>43641</v>
      </c>
      <c r="L11" s="1443"/>
      <c r="M11" s="1070">
        <f t="shared" ref="M11" si="5">J11+20</f>
        <v>43649</v>
      </c>
      <c r="N11" s="771"/>
    </row>
    <row r="12" spans="1:17" s="103" customFormat="1" ht="19.5" customHeight="1">
      <c r="A12" s="774">
        <f>A11+1</f>
        <v>25</v>
      </c>
      <c r="B12" s="538" t="s">
        <v>4789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0MQ2ME</v>
      </c>
      <c r="F12" s="945" t="str">
        <f t="shared" si="1"/>
        <v>0MQ2ME</v>
      </c>
      <c r="G12" s="487" t="s">
        <v>4785</v>
      </c>
      <c r="H12" s="487">
        <f t="shared" ref="H12" si="6">I12-1</f>
        <v>43634</v>
      </c>
      <c r="I12" s="487">
        <f t="shared" si="3"/>
        <v>43635</v>
      </c>
      <c r="J12" s="487">
        <f t="shared" si="3"/>
        <v>43636</v>
      </c>
      <c r="K12" s="1443">
        <f t="shared" ref="K12" si="7">J12+12</f>
        <v>43648</v>
      </c>
      <c r="L12" s="1443"/>
      <c r="M12" s="1070">
        <f t="shared" ref="M12" si="8">J12+20</f>
        <v>43656</v>
      </c>
      <c r="N12" s="771"/>
    </row>
    <row r="13" spans="1:17" s="103" customFormat="1" ht="19.899999999999999" customHeight="1">
      <c r="A13" s="774">
        <f>A12+1</f>
        <v>26</v>
      </c>
      <c r="B13" s="538" t="s">
        <v>4790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0MQ2OE</v>
      </c>
      <c r="F13" s="945" t="str">
        <f t="shared" si="1"/>
        <v>0MQ2OE</v>
      </c>
      <c r="G13" s="958" t="s">
        <v>4786</v>
      </c>
      <c r="H13" s="487">
        <f t="shared" ref="H13" si="9">I13-1</f>
        <v>43641</v>
      </c>
      <c r="I13" s="487">
        <f t="shared" si="3"/>
        <v>43642</v>
      </c>
      <c r="J13" s="487">
        <f t="shared" si="3"/>
        <v>43643</v>
      </c>
      <c r="K13" s="1443">
        <f t="shared" ref="K13" si="10">J13+12</f>
        <v>43655</v>
      </c>
      <c r="L13" s="1443"/>
      <c r="M13" s="1070">
        <f t="shared" ref="M13" si="11">J13+20</f>
        <v>43663</v>
      </c>
      <c r="N13" s="771"/>
    </row>
    <row r="14" spans="1:17" s="103" customFormat="1" ht="19.899999999999999" customHeight="1" thickBot="1">
      <c r="A14" s="774">
        <f>A13+1</f>
        <v>27</v>
      </c>
      <c r="B14" s="757" t="s">
        <v>4791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0MQ2QE</v>
      </c>
      <c r="F14" s="945" t="str">
        <f t="shared" si="1"/>
        <v>0MQ2QE</v>
      </c>
      <c r="G14" s="958" t="s">
        <v>4787</v>
      </c>
      <c r="H14" s="487">
        <f t="shared" ref="H14" si="12">I14-1</f>
        <v>43648</v>
      </c>
      <c r="I14" s="487">
        <f t="shared" si="3"/>
        <v>43649</v>
      </c>
      <c r="J14" s="487">
        <f t="shared" si="3"/>
        <v>43650</v>
      </c>
      <c r="K14" s="1443">
        <f t="shared" ref="K14" si="13">J14+12</f>
        <v>43662</v>
      </c>
      <c r="L14" s="1443"/>
      <c r="M14" s="1074">
        <f t="shared" ref="M14" si="14">J14+20</f>
        <v>43670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14" t="s">
        <v>4283</v>
      </c>
      <c r="B16" s="1215"/>
      <c r="C16" s="1215"/>
      <c r="D16" s="550"/>
      <c r="E16" s="1255" t="s">
        <v>32</v>
      </c>
      <c r="F16" s="1255"/>
      <c r="G16" s="551"/>
      <c r="H16" s="226" t="s">
        <v>250</v>
      </c>
      <c r="I16" s="226"/>
      <c r="J16" s="226"/>
      <c r="K16" s="1265" t="s">
        <v>2</v>
      </c>
      <c r="L16" s="1266"/>
      <c r="M16" s="1266"/>
      <c r="N16" s="1266"/>
      <c r="O16" s="1266"/>
      <c r="P16" s="1266"/>
      <c r="Q16" s="1267"/>
    </row>
    <row r="17" spans="1:17" s="103" customFormat="1" ht="19.899999999999999" customHeight="1">
      <c r="A17" s="1229" t="s">
        <v>3</v>
      </c>
      <c r="B17" s="1254" t="s">
        <v>4</v>
      </c>
      <c r="C17" s="1254" t="s">
        <v>5</v>
      </c>
      <c r="D17" s="1153" t="s">
        <v>4291</v>
      </c>
      <c r="E17" s="1154" t="s">
        <v>6</v>
      </c>
      <c r="F17" s="1155"/>
      <c r="G17" s="1156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289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28"/>
      <c r="B18" s="1430"/>
      <c r="C18" s="1430"/>
      <c r="D18" s="1097"/>
      <c r="E18" s="1097" t="s">
        <v>13</v>
      </c>
      <c r="F18" s="1383" t="s">
        <v>14</v>
      </c>
      <c r="G18" s="1384"/>
      <c r="H18" s="499" t="s">
        <v>15</v>
      </c>
      <c r="I18" s="499" t="s">
        <v>16</v>
      </c>
      <c r="J18" s="476" t="s">
        <v>17</v>
      </c>
      <c r="K18" s="1433" t="s">
        <v>45</v>
      </c>
      <c r="L18" s="746" t="s">
        <v>46</v>
      </c>
      <c r="M18" s="1289"/>
      <c r="N18" s="1426" t="s">
        <v>169</v>
      </c>
      <c r="O18" s="1426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29"/>
      <c r="B19" s="1431"/>
      <c r="C19" s="1431"/>
      <c r="D19" s="1098"/>
      <c r="E19" s="1098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34"/>
      <c r="L19" s="474" t="s">
        <v>47</v>
      </c>
      <c r="M19" s="1432"/>
      <c r="N19" s="1427"/>
      <c r="O19" s="1427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CAV213</v>
      </c>
      <c r="C20" s="493" t="str">
        <f>VLOOKUP((LEFT(B20,3)),'ships name'!A:C,2,FALSE)</f>
        <v>CMA CGM AMERIGO VESPUCCI</v>
      </c>
      <c r="D20" s="812" t="str">
        <f>VLOOKUP(C20,'ships name'!B:C,2,FALSE)</f>
        <v>达飞韦斯普奇</v>
      </c>
      <c r="E20" s="611" t="str">
        <f>TPEC!E77</f>
        <v>213W</v>
      </c>
      <c r="F20" s="611" t="str">
        <f>TPEC!F77</f>
        <v>0MB35E</v>
      </c>
      <c r="G20" s="611" t="str">
        <f>TPEC!G77</f>
        <v>0MB35E1PL</v>
      </c>
      <c r="H20" s="611">
        <f>TPEC!H77</f>
        <v>43620</v>
      </c>
      <c r="I20" s="611">
        <f>TPEC!I77</f>
        <v>43622</v>
      </c>
      <c r="J20" s="611">
        <f>TPEC!J77</f>
        <v>43622</v>
      </c>
      <c r="K20" s="710" t="s">
        <v>4269</v>
      </c>
      <c r="L20" s="772">
        <f>J20+4</f>
        <v>43626</v>
      </c>
      <c r="M20" s="710" t="s">
        <v>4792</v>
      </c>
      <c r="N20" s="773" t="str">
        <f>VLOOKUP((LEFT(M20,3)),'ships name'!A:C,2,0)</f>
        <v>PRESIDENT EISENHOWER</v>
      </c>
      <c r="O20" s="610" t="str">
        <f>RIGHT(M20,3)&amp;"E"</f>
        <v>010E</v>
      </c>
      <c r="P20" s="772">
        <f>J20+18</f>
        <v>43640</v>
      </c>
      <c r="Q20" s="773">
        <f>J20+22</f>
        <v>43644</v>
      </c>
    </row>
    <row r="21" spans="1:17" s="103" customFormat="1" ht="19.899999999999999" customHeight="1">
      <c r="A21" s="722">
        <v>1</v>
      </c>
      <c r="B21" s="733" t="str">
        <f>TPEC!B78</f>
        <v>PD3048</v>
      </c>
      <c r="C21" s="499" t="str">
        <f>VLOOKUP((LEFT(B21,3)),'ships name'!A:C,2,FALSE)</f>
        <v>COSCO PRIDE</v>
      </c>
      <c r="D21" s="809" t="str">
        <f>VLOOKUP(C21,'ships name'!B:C,2,FALSE)</f>
        <v>中远自豪</v>
      </c>
      <c r="E21" s="580" t="str">
        <f>TPEC!E78</f>
        <v>048W</v>
      </c>
      <c r="F21" s="580" t="str">
        <f>TPEC!F78</f>
        <v>048E</v>
      </c>
      <c r="G21" s="611" t="str">
        <f>TPEC!G78</f>
        <v>0MB37E1PL</v>
      </c>
      <c r="H21" s="580">
        <f>TPEC!H78</f>
        <v>43627</v>
      </c>
      <c r="I21" s="580">
        <f>TPEC!I78</f>
        <v>43629</v>
      </c>
      <c r="J21" s="580">
        <f>TPEC!J78</f>
        <v>43629</v>
      </c>
      <c r="K21" s="716" t="s">
        <v>4269</v>
      </c>
      <c r="L21" s="775">
        <f>L20+7</f>
        <v>43633</v>
      </c>
      <c r="M21" s="716" t="s">
        <v>4793</v>
      </c>
      <c r="N21" s="776" t="str">
        <f>VLOOKUP((LEFT(M21,3)),'ships name'!A:C,2,0)</f>
        <v>PRESIDENT WILSON</v>
      </c>
      <c r="O21" s="577" t="str">
        <f>RIGHT(M21,3)&amp;"E"</f>
        <v>008E</v>
      </c>
      <c r="P21" s="775">
        <f t="shared" ref="P21" si="15">J21+18</f>
        <v>43647</v>
      </c>
      <c r="Q21" s="776">
        <f t="shared" ref="Q21" si="16">J21+22</f>
        <v>43651</v>
      </c>
    </row>
    <row r="22" spans="1:17" s="103" customFormat="1" ht="19.5" customHeight="1">
      <c r="A22" s="722">
        <v>1</v>
      </c>
      <c r="B22" s="733" t="str">
        <f>TPEC!B79</f>
        <v>FAH040</v>
      </c>
      <c r="C22" s="499" t="str">
        <f>VLOOKUP((LEFT(B22,3)),'ships name'!A:C,2,FALSE)</f>
        <v>COSCO FAITH</v>
      </c>
      <c r="D22" s="809" t="str">
        <f>VLOOKUP(C22,'ships name'!B:C,2,FALSE)</f>
        <v>中远诚信</v>
      </c>
      <c r="E22" s="580" t="str">
        <f>TPEC!E79</f>
        <v>040W</v>
      </c>
      <c r="F22" s="580" t="str">
        <f>TPEC!F79</f>
        <v>040E</v>
      </c>
      <c r="G22" s="611" t="str">
        <f>TPEC!G79</f>
        <v>0MB39E1PL</v>
      </c>
      <c r="H22" s="580">
        <f>TPEC!H79</f>
        <v>43634</v>
      </c>
      <c r="I22" s="580">
        <f>TPEC!I79</f>
        <v>43636</v>
      </c>
      <c r="J22" s="580">
        <f>TPEC!J79</f>
        <v>43636</v>
      </c>
      <c r="K22" s="716" t="s">
        <v>4269</v>
      </c>
      <c r="L22" s="775">
        <f>L21+7</f>
        <v>43640</v>
      </c>
      <c r="M22" s="716" t="s">
        <v>4794</v>
      </c>
      <c r="N22" s="776" t="str">
        <f>VLOOKUP((LEFT(M22,3)),'ships name'!A:C,2,0)</f>
        <v>PRESIDENT CLEVELAND</v>
      </c>
      <c r="O22" s="577" t="str">
        <f>RIGHT(M22,3)&amp;"E"</f>
        <v>010E</v>
      </c>
      <c r="P22" s="775">
        <f t="shared" ref="P22" si="17">J22+18</f>
        <v>43654</v>
      </c>
      <c r="Q22" s="776">
        <f t="shared" ref="Q22" si="18">J22+22</f>
        <v>43658</v>
      </c>
    </row>
    <row r="23" spans="1:17" s="103" customFormat="1" ht="19.899999999999999" customHeight="1">
      <c r="A23" s="722">
        <v>1</v>
      </c>
      <c r="B23" s="733" t="str">
        <f>TPEC!B80</f>
        <v>JME005</v>
      </c>
      <c r="C23" s="499" t="str">
        <f>VLOOKUP((LEFT(B23,3)),'ships name'!A:C,2,FALSE)</f>
        <v>COSCO SHIPPING JASMINE</v>
      </c>
      <c r="D23" s="809" t="str">
        <f>VLOOKUP(C23,'ships name'!B:C,2,FALSE)</f>
        <v xml:space="preserve"> </v>
      </c>
      <c r="E23" s="580" t="str">
        <f>TPEC!E80</f>
        <v>005W</v>
      </c>
      <c r="F23" s="580" t="str">
        <f>TPEC!F80</f>
        <v>005E</v>
      </c>
      <c r="G23" s="611" t="str">
        <f>TPEC!G80</f>
        <v>0MB3BE1PL</v>
      </c>
      <c r="H23" s="580">
        <f>TPEC!H80</f>
        <v>43641</v>
      </c>
      <c r="I23" s="580">
        <f>TPEC!I80</f>
        <v>43643</v>
      </c>
      <c r="J23" s="580">
        <f>TPEC!J80</f>
        <v>43643</v>
      </c>
      <c r="K23" s="716" t="s">
        <v>4269</v>
      </c>
      <c r="L23" s="775">
        <f>L22+7</f>
        <v>43647</v>
      </c>
      <c r="M23" s="716" t="s">
        <v>4795</v>
      </c>
      <c r="N23" s="776" t="str">
        <f>VLOOKUP((LEFT(M23,3)),'ships name'!A:C,2,0)</f>
        <v>PRESIDENT KENNEDY</v>
      </c>
      <c r="O23" s="577" t="str">
        <f>RIGHT(M23,3)&amp;"E"</f>
        <v>011E</v>
      </c>
      <c r="P23" s="775">
        <f t="shared" ref="P23" si="19">J23+18</f>
        <v>43661</v>
      </c>
      <c r="Q23" s="776">
        <f t="shared" ref="Q23" si="20">J23+22</f>
        <v>43665</v>
      </c>
    </row>
    <row r="24" spans="1:17" s="103" customFormat="1" ht="19.899999999999999" customHeight="1">
      <c r="A24" s="722">
        <v>1</v>
      </c>
      <c r="B24" s="733" t="str">
        <f>TPEC!B81</f>
        <v>FTE047</v>
      </c>
      <c r="C24" s="499" t="str">
        <f>VLOOKUP((LEFT(B24,3)),'ships name'!A:C,2,FALSE)</f>
        <v>COSCO FORTUNE</v>
      </c>
      <c r="D24" s="809" t="str">
        <f>VLOOKUP(C24,'ships name'!B:C,2,FALSE)</f>
        <v>中远财富</v>
      </c>
      <c r="E24" s="580" t="str">
        <f>TPEC!E81</f>
        <v>047W</v>
      </c>
      <c r="F24" s="580" t="str">
        <f>TPEC!F81</f>
        <v>047E</v>
      </c>
      <c r="G24" s="611" t="str">
        <f>TPEC!G81</f>
        <v>0MB3DE1PL</v>
      </c>
      <c r="H24" s="580">
        <f>TPEC!H81</f>
        <v>43648</v>
      </c>
      <c r="I24" s="580">
        <f>TPEC!I81</f>
        <v>43650</v>
      </c>
      <c r="J24" s="580">
        <f>TPEC!J81</f>
        <v>43650</v>
      </c>
      <c r="K24" s="716" t="s">
        <v>4269</v>
      </c>
      <c r="L24" s="775">
        <f>L23+7</f>
        <v>43654</v>
      </c>
      <c r="M24" s="716" t="s">
        <v>4796</v>
      </c>
      <c r="N24" s="776" t="str">
        <f>VLOOKUP((LEFT(M24,3)),'ships name'!A:C,2,0)</f>
        <v>PRESIDENT TRUMAN</v>
      </c>
      <c r="O24" s="577" t="str">
        <f>RIGHT(M24,3)&amp;"E"</f>
        <v>009E</v>
      </c>
      <c r="P24" s="775">
        <f t="shared" ref="P24" si="21">J24+18</f>
        <v>43668</v>
      </c>
      <c r="Q24" s="776">
        <f t="shared" ref="Q24" si="22">J24+22</f>
        <v>43672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214" t="s">
        <v>4212</v>
      </c>
      <c r="B26" s="1215"/>
      <c r="C26" s="1215"/>
      <c r="D26" s="1058"/>
      <c r="E26" s="1461" t="s">
        <v>4449</v>
      </c>
      <c r="F26" s="1461"/>
      <c r="G26" s="1062"/>
      <c r="H26" s="1255" t="s">
        <v>250</v>
      </c>
      <c r="I26" s="1255" t="s">
        <v>429</v>
      </c>
      <c r="J26" s="1444"/>
      <c r="K26" s="1176" t="s">
        <v>2</v>
      </c>
      <c r="L26" s="1170"/>
      <c r="M26" s="1445"/>
    </row>
    <row r="27" spans="1:17" s="103" customFormat="1" ht="19.899999999999999" hidden="1" customHeight="1">
      <c r="A27" s="1456" t="s">
        <v>3</v>
      </c>
      <c r="B27" s="1455" t="s">
        <v>4</v>
      </c>
      <c r="C27" s="1455" t="s">
        <v>5</v>
      </c>
      <c r="D27" s="1435" t="s">
        <v>4291</v>
      </c>
      <c r="E27" s="1109" t="s">
        <v>6</v>
      </c>
      <c r="F27" s="1110"/>
      <c r="G27" s="1111"/>
      <c r="H27" s="1061" t="s">
        <v>7</v>
      </c>
      <c r="I27" s="1061" t="s">
        <v>8</v>
      </c>
      <c r="J27" s="1061" t="s">
        <v>9</v>
      </c>
      <c r="K27" s="1436" t="s">
        <v>259</v>
      </c>
      <c r="L27" s="1437"/>
      <c r="M27" s="1071"/>
      <c r="N27" s="1440"/>
    </row>
    <row r="28" spans="1:17" s="103" customFormat="1" ht="19.899999999999999" hidden="1" customHeight="1">
      <c r="A28" s="1457"/>
      <c r="B28" s="1218"/>
      <c r="C28" s="1218"/>
      <c r="D28" s="1222"/>
      <c r="E28" s="1452" t="s">
        <v>13</v>
      </c>
      <c r="F28" s="1459" t="s">
        <v>14</v>
      </c>
      <c r="G28" s="1460"/>
      <c r="H28" s="1064" t="s">
        <v>15</v>
      </c>
      <c r="I28" s="1064" t="s">
        <v>16</v>
      </c>
      <c r="J28" s="1064" t="s">
        <v>17</v>
      </c>
      <c r="K28" s="1446" t="s">
        <v>252</v>
      </c>
      <c r="L28" s="1447"/>
      <c r="M28" s="1072"/>
      <c r="N28" s="1440"/>
    </row>
    <row r="29" spans="1:17" s="103" customFormat="1" ht="19.899999999999999" hidden="1" customHeight="1" thickBot="1">
      <c r="A29" s="1458"/>
      <c r="B29" s="1219"/>
      <c r="C29" s="1219"/>
      <c r="D29" s="1223"/>
      <c r="E29" s="1223"/>
      <c r="F29" s="605" t="s">
        <v>4292</v>
      </c>
      <c r="G29" s="1052" t="s">
        <v>4293</v>
      </c>
      <c r="H29" s="1065" t="s">
        <v>4217</v>
      </c>
      <c r="I29" s="1065" t="s">
        <v>484</v>
      </c>
      <c r="J29" s="1065" t="s">
        <v>3351</v>
      </c>
      <c r="K29" s="1448"/>
      <c r="L29" s="1449"/>
      <c r="M29" s="1067"/>
      <c r="N29" s="1440"/>
    </row>
    <row r="30" spans="1:17" s="103" customFormat="1" ht="19.5" hidden="1" customHeight="1">
      <c r="A30" s="537">
        <v>14</v>
      </c>
      <c r="B30" s="1063" t="s">
        <v>4429</v>
      </c>
      <c r="C30" s="1059" t="str">
        <f>VLOOKUP((LEFT(B30,3)),'ships name'!A:C,2,FALSE)</f>
        <v>COSCO BELGIUM</v>
      </c>
      <c r="D30" s="1060" t="str">
        <f>VLOOKUP(C30,'ships name'!B:C,2,FALSE)</f>
        <v>中远比利时</v>
      </c>
      <c r="E30" s="1056" t="str">
        <f>LEFT(F30,3)&amp;"W"</f>
        <v>037W</v>
      </c>
      <c r="F30" s="1056" t="str">
        <f t="shared" ref="F30:F34" si="23">RIGHT(B30,3)&amp;"E"</f>
        <v>037E</v>
      </c>
      <c r="G30" s="1056" t="s">
        <v>4427</v>
      </c>
      <c r="H30" s="1056">
        <f>I30-1</f>
        <v>43557</v>
      </c>
      <c r="I30" s="1056">
        <f>J30-1</f>
        <v>43558</v>
      </c>
      <c r="J30" s="1056">
        <v>43559</v>
      </c>
      <c r="K30" s="1450">
        <f>J30+12</f>
        <v>43571</v>
      </c>
      <c r="L30" s="1451"/>
      <c r="M30" s="1073"/>
      <c r="N30" s="1054"/>
    </row>
    <row r="31" spans="1:17" s="103" customFormat="1" ht="19.899999999999999" hidden="1" customHeight="1">
      <c r="A31" s="774">
        <f>A30+1</f>
        <v>15</v>
      </c>
      <c r="B31" s="1068" t="s">
        <v>4503</v>
      </c>
      <c r="C31" s="1059" t="str">
        <f>VLOOKUP((LEFT(B31,3)),'ships name'!A:C,2,FALSE)</f>
        <v>KOTA PERABU</v>
      </c>
      <c r="D31" s="1059" t="str">
        <f>VLOOKUP(C31,'ships name'!B:C,2,FALSE)</f>
        <v xml:space="preserve"> </v>
      </c>
      <c r="E31" s="1066" t="str">
        <f>LEFT(F31,3)&amp;"W"</f>
        <v>010W</v>
      </c>
      <c r="F31" s="1066" t="str">
        <f t="shared" si="23"/>
        <v>010E</v>
      </c>
      <c r="G31" s="1066" t="s">
        <v>4497</v>
      </c>
      <c r="H31" s="1066">
        <f>I31-1</f>
        <v>43564</v>
      </c>
      <c r="I31" s="1066">
        <f t="shared" ref="I31:J34" si="24">I30+7</f>
        <v>43565</v>
      </c>
      <c r="J31" s="1066">
        <f t="shared" si="24"/>
        <v>43566</v>
      </c>
      <c r="K31" s="1438">
        <f t="shared" ref="K31" si="25">J31+12</f>
        <v>43578</v>
      </c>
      <c r="L31" s="1439"/>
      <c r="M31" s="1070"/>
      <c r="N31" s="1054"/>
    </row>
    <row r="32" spans="1:17" s="103" customFormat="1" ht="19.5" hidden="1" customHeight="1">
      <c r="A32" s="774">
        <f>A31+1</f>
        <v>16</v>
      </c>
      <c r="B32" s="1068" t="s">
        <v>4502</v>
      </c>
      <c r="C32" s="1059" t="str">
        <f>VLOOKUP((LEFT(B32,3)),'ships name'!A:C,2,FALSE)</f>
        <v>KOTA PAHLAWAN</v>
      </c>
      <c r="D32" s="1059" t="str">
        <f>VLOOKUP(C32,'ships name'!B:C,2,FALSE)</f>
        <v xml:space="preserve"> </v>
      </c>
      <c r="E32" s="1066" t="str">
        <f>LEFT(F32,3)&amp;"W"</f>
        <v>013W</v>
      </c>
      <c r="F32" s="1066" t="str">
        <f t="shared" si="23"/>
        <v>013E</v>
      </c>
      <c r="G32" s="1066" t="s">
        <v>4498</v>
      </c>
      <c r="H32" s="1066">
        <f>I32-1</f>
        <v>43571</v>
      </c>
      <c r="I32" s="1066">
        <f t="shared" si="24"/>
        <v>43572</v>
      </c>
      <c r="J32" s="1066">
        <f t="shared" si="24"/>
        <v>43573</v>
      </c>
      <c r="K32" s="1438">
        <f t="shared" ref="K32" si="26">J32+12</f>
        <v>43585</v>
      </c>
      <c r="L32" s="1439"/>
      <c r="M32" s="1070"/>
      <c r="N32" s="1054"/>
    </row>
    <row r="33" spans="1:14" s="103" customFormat="1" ht="19.899999999999999" hidden="1" customHeight="1">
      <c r="A33" s="774">
        <f>A32+1</f>
        <v>17</v>
      </c>
      <c r="B33" s="1068" t="s">
        <v>3766</v>
      </c>
      <c r="C33" s="1059" t="str">
        <f>VLOOKUP((LEFT(B33,3)),'ships name'!A:C,2,FALSE)</f>
        <v xml:space="preserve">void sailing </v>
      </c>
      <c r="D33" s="1059">
        <f>VLOOKUP(C33,'ships name'!B:C,2,FALSE)</f>
        <v>0</v>
      </c>
      <c r="E33" s="1066" t="str">
        <f>LEFT(F33,3)&amp;"W"</f>
        <v>oidW</v>
      </c>
      <c r="F33" s="1066" t="str">
        <f t="shared" si="23"/>
        <v>oidE</v>
      </c>
      <c r="G33" s="1066" t="s">
        <v>4499</v>
      </c>
      <c r="H33" s="1066">
        <f>I33-1</f>
        <v>43578</v>
      </c>
      <c r="I33" s="1066">
        <f t="shared" si="24"/>
        <v>43579</v>
      </c>
      <c r="J33" s="1066">
        <f t="shared" si="24"/>
        <v>43580</v>
      </c>
      <c r="K33" s="1438">
        <f t="shared" ref="K33" si="27">J33+12</f>
        <v>43592</v>
      </c>
      <c r="L33" s="1439"/>
      <c r="M33" s="1070"/>
      <c r="N33" s="1054"/>
    </row>
    <row r="34" spans="1:14" s="103" customFormat="1" ht="19.899999999999999" hidden="1" customHeight="1">
      <c r="A34" s="774">
        <f>A33+1</f>
        <v>18</v>
      </c>
      <c r="B34" s="757" t="s">
        <v>4501</v>
      </c>
      <c r="C34" s="1059" t="str">
        <f>VLOOKUP((LEFT(B34,3)),'ships name'!A:C,2,FALSE)</f>
        <v>CSCL SUMMER</v>
      </c>
      <c r="D34" s="1059" t="str">
        <f>VLOOKUP(C34,'ships name'!B:C,2,FALSE)</f>
        <v xml:space="preserve"> </v>
      </c>
      <c r="E34" s="1066" t="str">
        <f>LEFT(F34,3)&amp;"W"</f>
        <v>023W</v>
      </c>
      <c r="F34" s="1066" t="str">
        <f t="shared" si="23"/>
        <v>023E</v>
      </c>
      <c r="G34" s="1066" t="s">
        <v>4500</v>
      </c>
      <c r="H34" s="1066">
        <f>I34-1</f>
        <v>43585</v>
      </c>
      <c r="I34" s="1066">
        <f t="shared" si="24"/>
        <v>43586</v>
      </c>
      <c r="J34" s="1066">
        <f t="shared" si="24"/>
        <v>43587</v>
      </c>
      <c r="K34" s="1438">
        <f t="shared" ref="K34" si="28">J34+12</f>
        <v>43599</v>
      </c>
      <c r="L34" s="1439"/>
      <c r="M34" s="1070"/>
      <c r="N34" s="1054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14" t="s">
        <v>4569</v>
      </c>
      <c r="B36" s="1215"/>
      <c r="C36" s="1215"/>
      <c r="D36" s="1058"/>
      <c r="E36" s="1255" t="s">
        <v>4574</v>
      </c>
      <c r="F36" s="1255"/>
      <c r="G36" s="1062"/>
      <c r="H36" s="1255" t="s">
        <v>4575</v>
      </c>
      <c r="I36" s="1255" t="s">
        <v>429</v>
      </c>
      <c r="J36" s="1444"/>
      <c r="K36" s="1176" t="s">
        <v>2</v>
      </c>
      <c r="L36" s="1170"/>
      <c r="M36" s="1445"/>
    </row>
    <row r="37" spans="1:14" s="103" customFormat="1" ht="19.899999999999999" customHeight="1">
      <c r="A37" s="1456" t="s">
        <v>3</v>
      </c>
      <c r="B37" s="1455" t="s">
        <v>4</v>
      </c>
      <c r="C37" s="1455" t="s">
        <v>5</v>
      </c>
      <c r="D37" s="1435" t="s">
        <v>4291</v>
      </c>
      <c r="E37" s="1109" t="s">
        <v>6</v>
      </c>
      <c r="F37" s="1110"/>
      <c r="G37" s="1111"/>
      <c r="H37" s="1061" t="s">
        <v>7</v>
      </c>
      <c r="I37" s="1061" t="s">
        <v>8</v>
      </c>
      <c r="J37" s="1061" t="s">
        <v>9</v>
      </c>
      <c r="K37" s="1436" t="s">
        <v>259</v>
      </c>
      <c r="L37" s="1437"/>
      <c r="M37" s="1071" t="s">
        <v>260</v>
      </c>
      <c r="N37" s="1440"/>
    </row>
    <row r="38" spans="1:14" s="103" customFormat="1" ht="19.899999999999999" customHeight="1">
      <c r="A38" s="1457"/>
      <c r="B38" s="1218"/>
      <c r="C38" s="1218"/>
      <c r="D38" s="1222"/>
      <c r="E38" s="1452" t="s">
        <v>13</v>
      </c>
      <c r="F38" s="1459" t="s">
        <v>14</v>
      </c>
      <c r="G38" s="1460"/>
      <c r="H38" s="1064" t="s">
        <v>15</v>
      </c>
      <c r="I38" s="1064" t="s">
        <v>16</v>
      </c>
      <c r="J38" s="1064" t="s">
        <v>17</v>
      </c>
      <c r="K38" s="1446" t="s">
        <v>252</v>
      </c>
      <c r="L38" s="1447"/>
      <c r="M38" s="1072" t="s">
        <v>251</v>
      </c>
      <c r="N38" s="1440"/>
    </row>
    <row r="39" spans="1:14" s="103" customFormat="1" ht="19.899999999999999" customHeight="1" thickBot="1">
      <c r="A39" s="1458"/>
      <c r="B39" s="1219"/>
      <c r="C39" s="1219"/>
      <c r="D39" s="1223"/>
      <c r="E39" s="1223"/>
      <c r="F39" s="605" t="s">
        <v>4292</v>
      </c>
      <c r="G39" s="1052" t="s">
        <v>4293</v>
      </c>
      <c r="H39" s="1077" t="s">
        <v>4576</v>
      </c>
      <c r="I39" s="1065" t="s">
        <v>93</v>
      </c>
      <c r="J39" s="1065" t="s">
        <v>94</v>
      </c>
      <c r="K39" s="1448"/>
      <c r="L39" s="1449"/>
      <c r="M39" s="1067"/>
      <c r="N39" s="1440"/>
    </row>
    <row r="40" spans="1:14" s="103" customFormat="1" ht="19.5" customHeight="1">
      <c r="A40" s="537">
        <v>23</v>
      </c>
      <c r="B40" s="1063" t="s">
        <v>4573</v>
      </c>
      <c r="C40" s="1059" t="str">
        <f>VLOOKUP((LEFT(B40,3)),'ships name'!A:C,2,FALSE)</f>
        <v>KOTA PURI</v>
      </c>
      <c r="D40" s="1060" t="str">
        <f>VLOOKUP(C40,'ships name'!B:C,2,FALSE)</f>
        <v xml:space="preserve"> </v>
      </c>
      <c r="E40" s="1056" t="str">
        <f>LEFT(F40,3)&amp;"W"</f>
        <v>004W</v>
      </c>
      <c r="F40" s="1056" t="str">
        <f t="shared" ref="F40:F44" si="29">RIGHT(B40,3)&amp;"E"</f>
        <v>004E</v>
      </c>
      <c r="G40" s="1056" t="s">
        <v>4571</v>
      </c>
      <c r="H40" s="1056">
        <f>I40-1</f>
        <v>43617</v>
      </c>
      <c r="I40" s="1056">
        <f>J40-1</f>
        <v>43618</v>
      </c>
      <c r="J40" s="1056">
        <v>43619</v>
      </c>
      <c r="K40" s="1450">
        <f>J40+13</f>
        <v>43632</v>
      </c>
      <c r="L40" s="1451"/>
      <c r="M40" s="1073">
        <f>J40+21</f>
        <v>43640</v>
      </c>
      <c r="N40" s="1054"/>
    </row>
    <row r="41" spans="1:14" s="103" customFormat="1" ht="19.899999999999999" customHeight="1">
      <c r="A41" s="774">
        <f>A40+1</f>
        <v>24</v>
      </c>
      <c r="B41" s="1068" t="s">
        <v>4797</v>
      </c>
      <c r="C41" s="1059" t="str">
        <f>VLOOKUP((LEFT(B41,3)),'ships name'!A:C,2,FALSE)</f>
        <v>COSCO TAICANG</v>
      </c>
      <c r="D41" s="1059" t="str">
        <f>VLOOKUP(C41,'ships name'!B:C,2,FALSE)</f>
        <v>中远太仓</v>
      </c>
      <c r="E41" s="1066" t="str">
        <f>LEFT(F41,3)&amp;"W"</f>
        <v>061W</v>
      </c>
      <c r="F41" s="1066" t="str">
        <f t="shared" si="29"/>
        <v>061E</v>
      </c>
      <c r="G41" s="1066" t="s">
        <v>4801</v>
      </c>
      <c r="H41" s="1076">
        <f t="shared" ref="H41:H44" si="30">I41-1</f>
        <v>43624</v>
      </c>
      <c r="I41" s="1066">
        <f t="shared" ref="I41:J41" si="31">I40+7</f>
        <v>43625</v>
      </c>
      <c r="J41" s="1066">
        <f t="shared" si="31"/>
        <v>43626</v>
      </c>
      <c r="K41" s="1438">
        <f t="shared" ref="K41:K44" si="32">J41+12</f>
        <v>43638</v>
      </c>
      <c r="L41" s="1439"/>
      <c r="M41" s="1070">
        <f t="shared" ref="M41:M44" si="33">J41+21</f>
        <v>43647</v>
      </c>
      <c r="N41" s="1054"/>
    </row>
    <row r="42" spans="1:14" s="103" customFormat="1" ht="19.5" customHeight="1">
      <c r="A42" s="774">
        <f>A41+1</f>
        <v>25</v>
      </c>
      <c r="B42" s="1068" t="s">
        <v>4798</v>
      </c>
      <c r="C42" s="1059" t="str">
        <f>VLOOKUP((LEFT(B42,3)),'ships name'!A:C,2,FALSE)</f>
        <v>COSCO ASIA</v>
      </c>
      <c r="D42" s="1059" t="str">
        <f>VLOOKUP(C42,'ships name'!B:C,2,FALSE)</f>
        <v>中远亚洲</v>
      </c>
      <c r="E42" s="1066" t="str">
        <f>LEFT(F42,3)&amp;"W"</f>
        <v>063W</v>
      </c>
      <c r="F42" s="1066" t="str">
        <f t="shared" si="29"/>
        <v>063E</v>
      </c>
      <c r="G42" s="1066" t="s">
        <v>4802</v>
      </c>
      <c r="H42" s="1076">
        <f t="shared" si="30"/>
        <v>43631</v>
      </c>
      <c r="I42" s="1066">
        <f t="shared" ref="I42:J42" si="34">I41+7</f>
        <v>43632</v>
      </c>
      <c r="J42" s="1066">
        <f t="shared" si="34"/>
        <v>43633</v>
      </c>
      <c r="K42" s="1438">
        <f t="shared" si="32"/>
        <v>43645</v>
      </c>
      <c r="L42" s="1439"/>
      <c r="M42" s="1070">
        <f t="shared" si="33"/>
        <v>43654</v>
      </c>
      <c r="N42" s="1054"/>
    </row>
    <row r="43" spans="1:14" s="103" customFormat="1" ht="19.899999999999999" customHeight="1">
      <c r="A43" s="774">
        <f>A42+1</f>
        <v>26</v>
      </c>
      <c r="B43" s="1068" t="s">
        <v>4799</v>
      </c>
      <c r="C43" s="1059" t="str">
        <f>VLOOKUP((LEFT(B43,3)),'ships name'!A:C,2,FALSE)</f>
        <v>KOTA PERDANA</v>
      </c>
      <c r="D43" s="1059" t="str">
        <f>VLOOKUP(C43,'ships name'!B:C,2,FALSE)</f>
        <v xml:space="preserve"> </v>
      </c>
      <c r="E43" s="1066" t="str">
        <f>LEFT(F43,3)&amp;"W"</f>
        <v>010W</v>
      </c>
      <c r="F43" s="1066" t="str">
        <f t="shared" si="29"/>
        <v>010E</v>
      </c>
      <c r="G43" s="1066" t="s">
        <v>4803</v>
      </c>
      <c r="H43" s="1076">
        <f t="shared" si="30"/>
        <v>43638</v>
      </c>
      <c r="I43" s="1066">
        <f t="shared" ref="I43:J43" si="35">I42+7</f>
        <v>43639</v>
      </c>
      <c r="J43" s="1066">
        <f t="shared" si="35"/>
        <v>43640</v>
      </c>
      <c r="K43" s="1438">
        <f t="shared" si="32"/>
        <v>43652</v>
      </c>
      <c r="L43" s="1439"/>
      <c r="M43" s="1070">
        <f t="shared" si="33"/>
        <v>43661</v>
      </c>
      <c r="N43" s="1054"/>
    </row>
    <row r="44" spans="1:14" s="103" customFormat="1" ht="19.899999999999999" customHeight="1">
      <c r="A44" s="774">
        <f>A43+1</f>
        <v>27</v>
      </c>
      <c r="B44" s="757" t="s">
        <v>4800</v>
      </c>
      <c r="C44" s="1059" t="str">
        <f>VLOOKUP((LEFT(B44,3)),'ships name'!A:C,2,FALSE)</f>
        <v>COSCO AMERICA</v>
      </c>
      <c r="D44" s="1059" t="s">
        <v>29</v>
      </c>
      <c r="E44" s="1066" t="str">
        <f>LEFT(F44,3)&amp;"W"</f>
        <v>059W</v>
      </c>
      <c r="F44" s="1066" t="str">
        <f t="shared" si="29"/>
        <v>059E</v>
      </c>
      <c r="G44" s="1066" t="s">
        <v>4804</v>
      </c>
      <c r="H44" s="1076">
        <f t="shared" si="30"/>
        <v>43645</v>
      </c>
      <c r="I44" s="1066">
        <f t="shared" ref="I44:J44" si="36">I43+7</f>
        <v>43646</v>
      </c>
      <c r="J44" s="1066">
        <f t="shared" si="36"/>
        <v>43647</v>
      </c>
      <c r="K44" s="1438">
        <f t="shared" si="32"/>
        <v>43659</v>
      </c>
      <c r="L44" s="1439"/>
      <c r="M44" s="1070">
        <f t="shared" si="33"/>
        <v>43668</v>
      </c>
      <c r="N44" s="1054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14" t="s">
        <v>86</v>
      </c>
      <c r="B46" s="1215"/>
      <c r="C46" s="1215"/>
      <c r="D46" s="550"/>
      <c r="E46" s="1255" t="s">
        <v>74</v>
      </c>
      <c r="F46" s="1255" t="s">
        <v>3272</v>
      </c>
      <c r="G46" s="551"/>
      <c r="H46" s="1255" t="s">
        <v>250</v>
      </c>
      <c r="I46" s="1255" t="s">
        <v>3273</v>
      </c>
      <c r="J46" s="1444"/>
      <c r="K46" s="1419" t="s">
        <v>2</v>
      </c>
      <c r="L46" s="1420"/>
      <c r="M46" s="1420"/>
      <c r="N46"/>
    </row>
    <row r="47" spans="1:14" s="103" customFormat="1" ht="19.899999999999999" customHeight="1">
      <c r="A47" s="1229" t="s">
        <v>3</v>
      </c>
      <c r="B47" s="1254" t="s">
        <v>4</v>
      </c>
      <c r="C47" s="1254" t="s">
        <v>5</v>
      </c>
      <c r="D47" s="1153" t="s">
        <v>4291</v>
      </c>
      <c r="E47" s="1154" t="s">
        <v>6</v>
      </c>
      <c r="F47" s="1155"/>
      <c r="G47" s="1156"/>
      <c r="H47" s="514" t="s">
        <v>7</v>
      </c>
      <c r="I47" s="514" t="s">
        <v>8</v>
      </c>
      <c r="J47" s="514" t="s">
        <v>9</v>
      </c>
      <c r="K47" s="1441" t="s">
        <v>260</v>
      </c>
      <c r="L47" s="1442"/>
      <c r="M47" s="1071" t="s">
        <v>253</v>
      </c>
      <c r="N47" s="1440"/>
    </row>
    <row r="48" spans="1:14" s="103" customFormat="1" ht="19.899999999999999" customHeight="1">
      <c r="A48" s="1428"/>
      <c r="B48" s="1430"/>
      <c r="C48" s="1430"/>
      <c r="D48" s="1097"/>
      <c r="E48" s="1243" t="s">
        <v>13</v>
      </c>
      <c r="F48" s="1453" t="s">
        <v>14</v>
      </c>
      <c r="G48" s="1454"/>
      <c r="H48" s="439" t="s">
        <v>15</v>
      </c>
      <c r="I48" s="439" t="s">
        <v>16</v>
      </c>
      <c r="J48" s="439" t="s">
        <v>17</v>
      </c>
      <c r="K48" s="1417" t="s">
        <v>251</v>
      </c>
      <c r="L48" s="1418"/>
      <c r="M48" s="1072" t="s">
        <v>254</v>
      </c>
      <c r="N48" s="1440"/>
    </row>
    <row r="49" spans="1:18" s="103" customFormat="1" ht="19.899999999999999" customHeight="1" thickBot="1">
      <c r="A49" s="1429"/>
      <c r="B49" s="1431"/>
      <c r="C49" s="1431"/>
      <c r="D49" s="1098"/>
      <c r="E49" s="1223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31"/>
      <c r="L49" s="1431"/>
      <c r="M49" s="1067"/>
      <c r="N49" s="1440"/>
    </row>
    <row r="50" spans="1:18" s="103" customFormat="1" ht="19.5" customHeight="1">
      <c r="A50" s="537">
        <v>22</v>
      </c>
      <c r="B50" s="531" t="s">
        <v>140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0SVT2S</v>
      </c>
      <c r="F50" s="501" t="str">
        <f>LEFT(G50,6)</f>
        <v>0SVT2S</v>
      </c>
      <c r="G50" s="998" t="s">
        <v>4540</v>
      </c>
      <c r="H50" s="501">
        <f>I50</f>
        <v>43615</v>
      </c>
      <c r="I50" s="501">
        <f>J50-2</f>
        <v>43615</v>
      </c>
      <c r="J50" s="501">
        <v>43617</v>
      </c>
      <c r="K50" s="1205">
        <f>J50+15</f>
        <v>43632</v>
      </c>
      <c r="L50" s="1205"/>
      <c r="M50" s="1073">
        <f>J50+17</f>
        <v>43634</v>
      </c>
      <c r="N50" s="522"/>
    </row>
    <row r="51" spans="1:18" s="103" customFormat="1" ht="19.899999999999999" customHeight="1">
      <c r="A51" s="774">
        <f>A50+1</f>
        <v>23</v>
      </c>
      <c r="B51" s="1000" t="s">
        <v>4805</v>
      </c>
      <c r="C51" s="499" t="str">
        <f>VLOOKUP((LEFT(B51,3)),'ships name'!A:C,2,FALSE)</f>
        <v>APL SALALAH</v>
      </c>
      <c r="D51" s="809" t="str">
        <f>VLOOKUP(C51,'ships name'!B:C,2,FALSE)</f>
        <v>美总塞拉莱</v>
      </c>
      <c r="E51" s="951" t="str">
        <f t="shared" ref="E51:E54" si="37">F51</f>
        <v>0SV3BS</v>
      </c>
      <c r="F51" s="808" t="str">
        <f t="shared" ref="F51:F54" si="38">LEFT(G51,6)</f>
        <v>0SV3BS</v>
      </c>
      <c r="G51" s="998" t="s">
        <v>4809</v>
      </c>
      <c r="H51" s="487">
        <f t="shared" ref="H51:K54" si="39">H50+7</f>
        <v>43622</v>
      </c>
      <c r="I51" s="487">
        <f t="shared" si="39"/>
        <v>43622</v>
      </c>
      <c r="J51" s="487">
        <f t="shared" si="39"/>
        <v>43624</v>
      </c>
      <c r="K51" s="1443">
        <f t="shared" si="39"/>
        <v>43639</v>
      </c>
      <c r="L51" s="1443"/>
      <c r="M51" s="1070">
        <f>M50+7</f>
        <v>43641</v>
      </c>
      <c r="N51" s="522"/>
    </row>
    <row r="52" spans="1:18" s="103" customFormat="1" ht="19.5" customHeight="1">
      <c r="A52" s="774">
        <f>A51+1</f>
        <v>24</v>
      </c>
      <c r="B52" s="538" t="s">
        <v>4806</v>
      </c>
      <c r="C52" s="499" t="str">
        <f>VLOOKUP((LEFT(B52,3)),'ships name'!A:C,2,FALSE)</f>
        <v>APL QINGDAO</v>
      </c>
      <c r="D52" s="809" t="str">
        <f>VLOOKUP(C52,'ships name'!B:C,2,FALSE)</f>
        <v>美总青岛</v>
      </c>
      <c r="E52" s="951" t="str">
        <f t="shared" si="37"/>
        <v>0SV3FS</v>
      </c>
      <c r="F52" s="808" t="str">
        <f t="shared" si="38"/>
        <v>0SV3FS</v>
      </c>
      <c r="G52" s="487" t="s">
        <v>4810</v>
      </c>
      <c r="H52" s="487">
        <f t="shared" si="39"/>
        <v>43629</v>
      </c>
      <c r="I52" s="487">
        <f t="shared" si="39"/>
        <v>43629</v>
      </c>
      <c r="J52" s="487">
        <f t="shared" si="39"/>
        <v>43631</v>
      </c>
      <c r="K52" s="1443">
        <f t="shared" si="39"/>
        <v>43646</v>
      </c>
      <c r="L52" s="1443"/>
      <c r="M52" s="1070">
        <f>M51+7</f>
        <v>43648</v>
      </c>
      <c r="N52" s="522"/>
    </row>
    <row r="53" spans="1:18" s="103" customFormat="1" ht="19.899999999999999" customHeight="1">
      <c r="A53" s="774">
        <f>A52+1</f>
        <v>25</v>
      </c>
      <c r="B53" s="538" t="s">
        <v>4807</v>
      </c>
      <c r="C53" s="499" t="str">
        <f>VLOOKUP((LEFT(B53,3)),'ships name'!A:C,2,FALSE)</f>
        <v>APL DUBLIN</v>
      </c>
      <c r="D53" s="809" t="str">
        <f>VLOOKUP(C53,'ships name'!B:C,2,FALSE)</f>
        <v>美总都柏林</v>
      </c>
      <c r="E53" s="951" t="str">
        <f t="shared" si="37"/>
        <v>0SV3JS</v>
      </c>
      <c r="F53" s="808" t="str">
        <f t="shared" si="38"/>
        <v>0SV3JS</v>
      </c>
      <c r="G53" s="998" t="s">
        <v>4811</v>
      </c>
      <c r="H53" s="487">
        <f t="shared" si="39"/>
        <v>43636</v>
      </c>
      <c r="I53" s="487">
        <f t="shared" si="39"/>
        <v>43636</v>
      </c>
      <c r="J53" s="487">
        <f t="shared" si="39"/>
        <v>43638</v>
      </c>
      <c r="K53" s="1443">
        <f t="shared" si="39"/>
        <v>43653</v>
      </c>
      <c r="L53" s="1443"/>
      <c r="M53" s="1070">
        <f>M52+7</f>
        <v>43655</v>
      </c>
      <c r="N53" s="522"/>
    </row>
    <row r="54" spans="1:18" s="103" customFormat="1" ht="19.899999999999999" customHeight="1">
      <c r="A54" s="774">
        <f>A53+1</f>
        <v>26</v>
      </c>
      <c r="B54" s="757" t="s">
        <v>4808</v>
      </c>
      <c r="C54" s="499" t="str">
        <f>VLOOKUP((LEFT(B54,3)),'ships name'!A:C,2,FALSE)</f>
        <v>APL BARCELONA</v>
      </c>
      <c r="D54" s="809" t="str">
        <f>VLOOKUP(C54,'ships name'!B:C,2,FALSE)</f>
        <v>美总巴塞罗那</v>
      </c>
      <c r="E54" s="951" t="str">
        <f t="shared" si="37"/>
        <v>0SV3NS</v>
      </c>
      <c r="F54" s="808" t="str">
        <f t="shared" si="38"/>
        <v>0SV3NS</v>
      </c>
      <c r="G54" s="487" t="s">
        <v>4812</v>
      </c>
      <c r="H54" s="487">
        <f t="shared" si="39"/>
        <v>43643</v>
      </c>
      <c r="I54" s="487">
        <f t="shared" si="39"/>
        <v>43643</v>
      </c>
      <c r="J54" s="487">
        <f t="shared" si="39"/>
        <v>43645</v>
      </c>
      <c r="K54" s="1443">
        <f t="shared" si="39"/>
        <v>43660</v>
      </c>
      <c r="L54" s="1443"/>
      <c r="M54" s="1070">
        <f>M53+7</f>
        <v>43662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14" t="s">
        <v>255</v>
      </c>
      <c r="B56" s="1215"/>
      <c r="C56" s="1215"/>
      <c r="D56" s="550"/>
      <c r="E56" s="1255" t="s">
        <v>74</v>
      </c>
      <c r="F56" s="1255" t="s">
        <v>3271</v>
      </c>
      <c r="G56" s="970" t="s">
        <v>3080</v>
      </c>
      <c r="H56" s="1255" t="s">
        <v>256</v>
      </c>
      <c r="I56" s="1255" t="s">
        <v>3273</v>
      </c>
      <c r="J56" s="1444"/>
      <c r="K56" s="1419" t="s">
        <v>2</v>
      </c>
      <c r="L56" s="1420"/>
      <c r="M56" s="1420"/>
      <c r="N56" s="928"/>
      <c r="O56" s="103"/>
      <c r="P56" s="103"/>
      <c r="Q56" s="103"/>
      <c r="R56" s="103"/>
    </row>
    <row r="57" spans="1:18" s="103" customFormat="1" ht="19.899999999999999" customHeight="1">
      <c r="A57" s="1229" t="s">
        <v>3</v>
      </c>
      <c r="B57" s="1254" t="s">
        <v>4</v>
      </c>
      <c r="C57" s="1254" t="s">
        <v>5</v>
      </c>
      <c r="D57" s="1153" t="s">
        <v>4291</v>
      </c>
      <c r="E57" s="1154" t="s">
        <v>6</v>
      </c>
      <c r="F57" s="1155"/>
      <c r="G57" s="1156"/>
      <c r="H57" s="514" t="s">
        <v>7</v>
      </c>
      <c r="I57" s="514" t="s">
        <v>8</v>
      </c>
      <c r="J57" s="514" t="s">
        <v>9</v>
      </c>
      <c r="K57" s="1441" t="s">
        <v>257</v>
      </c>
      <c r="L57" s="1442"/>
      <c r="M57" s="1071" t="s">
        <v>253</v>
      </c>
      <c r="N57" s="928"/>
    </row>
    <row r="58" spans="1:18" s="103" customFormat="1" ht="19.899999999999999" customHeight="1">
      <c r="A58" s="1428"/>
      <c r="B58" s="1430"/>
      <c r="C58" s="1430"/>
      <c r="D58" s="1097"/>
      <c r="E58" s="1243" t="s">
        <v>13</v>
      </c>
      <c r="F58" s="1453" t="s">
        <v>14</v>
      </c>
      <c r="G58" s="1454"/>
      <c r="H58" s="439" t="s">
        <v>15</v>
      </c>
      <c r="I58" s="439" t="s">
        <v>16</v>
      </c>
      <c r="J58" s="439" t="s">
        <v>17</v>
      </c>
      <c r="K58" s="1417" t="s">
        <v>258</v>
      </c>
      <c r="L58" s="1418"/>
      <c r="M58" s="1072" t="s">
        <v>254</v>
      </c>
      <c r="N58" s="928"/>
      <c r="Q58" s="223"/>
    </row>
    <row r="59" spans="1:18" s="103" customFormat="1" ht="19.899999999999999" customHeight="1" thickBot="1">
      <c r="A59" s="1429"/>
      <c r="B59" s="1431"/>
      <c r="C59" s="1431"/>
      <c r="D59" s="1098"/>
      <c r="E59" s="1223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31"/>
      <c r="L59" s="1431"/>
      <c r="M59" s="1067"/>
      <c r="N59" s="928"/>
      <c r="Q59" s="223"/>
    </row>
    <row r="60" spans="1:18" s="103" customFormat="1" ht="19.899999999999999" customHeight="1">
      <c r="A60" s="537">
        <v>23</v>
      </c>
      <c r="B60" s="531" t="s">
        <v>4591</v>
      </c>
      <c r="C60" s="493" t="str">
        <f>VLOOKUP((LEFT(B60,3)),'ships name'!A:C,2,FALSE)</f>
        <v>EVER SUMMIT</v>
      </c>
      <c r="D60" s="812">
        <f>VLOOKUP(C60,'ships name'!B:C,2,FALSE)</f>
        <v>0</v>
      </c>
      <c r="E60" s="487" t="str">
        <f t="shared" ref="E60:E64" si="40">RIGHT(B60,3)&amp;"W"</f>
        <v>507W</v>
      </c>
      <c r="F60" s="501" t="str">
        <f>RIGHT(B60,3)&amp;"E"</f>
        <v>507E</v>
      </c>
      <c r="G60" s="501" t="s">
        <v>4541</v>
      </c>
      <c r="H60" s="501">
        <f>I60-1</f>
        <v>43616</v>
      </c>
      <c r="I60" s="501">
        <f>J60-1</f>
        <v>43617</v>
      </c>
      <c r="J60" s="501">
        <v>43618</v>
      </c>
      <c r="K60" s="1205">
        <f>J60+11</f>
        <v>43629</v>
      </c>
      <c r="L60" s="1205"/>
      <c r="M60" s="1073">
        <f>J60+13</f>
        <v>43631</v>
      </c>
      <c r="N60" s="928"/>
      <c r="Q60" s="223"/>
    </row>
    <row r="61" spans="1:18" s="103" customFormat="1" ht="19.899999999999999" customHeight="1">
      <c r="A61" s="774">
        <f>A60+1</f>
        <v>24</v>
      </c>
      <c r="B61" s="538" t="s">
        <v>4813</v>
      </c>
      <c r="C61" s="499" t="str">
        <f>VLOOKUP((LEFT(B61,3)),'ships name'!A:C,2,FALSE)</f>
        <v>EVER STEADY</v>
      </c>
      <c r="D61" s="809" t="str">
        <f>VLOOKUP(C61,'ships name'!B:C,2,FALSE)</f>
        <v xml:space="preserve"> </v>
      </c>
      <c r="E61" s="487" t="str">
        <f t="shared" si="40"/>
        <v>078W</v>
      </c>
      <c r="F61" s="487" t="str">
        <f t="shared" ref="F61" si="41">RIGHT(B61,3)&amp;"E"</f>
        <v>078E</v>
      </c>
      <c r="G61" s="487" t="s">
        <v>4817</v>
      </c>
      <c r="H61" s="487">
        <f>H60+7</f>
        <v>43623</v>
      </c>
      <c r="I61" s="487">
        <f t="shared" ref="I61:J64" si="42">H61+1</f>
        <v>43624</v>
      </c>
      <c r="J61" s="487">
        <f t="shared" si="42"/>
        <v>43625</v>
      </c>
      <c r="K61" s="1443">
        <f>J61+11</f>
        <v>43636</v>
      </c>
      <c r="L61" s="1443"/>
      <c r="M61" s="1070">
        <f>J61+13</f>
        <v>43638</v>
      </c>
      <c r="N61" s="814"/>
      <c r="Q61" s="223"/>
    </row>
    <row r="62" spans="1:18" s="103" customFormat="1" ht="19.899999999999999" customHeight="1">
      <c r="A62" s="774">
        <f>A61+1</f>
        <v>25</v>
      </c>
      <c r="B62" s="538" t="s">
        <v>4814</v>
      </c>
      <c r="C62" s="499" t="str">
        <f>VLOOKUP((LEFT(B62,3)),'ships name'!A:C,2,FALSE)</f>
        <v>EVER STRONG</v>
      </c>
      <c r="D62" s="809">
        <f>VLOOKUP(C62,'ships name'!B:C,2,FALSE)</f>
        <v>0</v>
      </c>
      <c r="E62" s="487" t="str">
        <f t="shared" si="40"/>
        <v>085W</v>
      </c>
      <c r="F62" s="487" t="str">
        <f t="shared" ref="F62" si="43">RIGHT(B62,3)&amp;"E"</f>
        <v>085E</v>
      </c>
      <c r="G62" s="487" t="s">
        <v>4818</v>
      </c>
      <c r="H62" s="487">
        <f>H61+7</f>
        <v>43630</v>
      </c>
      <c r="I62" s="487">
        <f t="shared" si="42"/>
        <v>43631</v>
      </c>
      <c r="J62" s="487">
        <f t="shared" si="42"/>
        <v>43632</v>
      </c>
      <c r="K62" s="1443">
        <f>J62+11</f>
        <v>43643</v>
      </c>
      <c r="L62" s="1443"/>
      <c r="M62" s="1070">
        <f>J62+13</f>
        <v>43645</v>
      </c>
      <c r="N62" s="814"/>
    </row>
    <row r="63" spans="1:18" s="103" customFormat="1" ht="19.899999999999999" customHeight="1">
      <c r="A63" s="774">
        <f>A62+1</f>
        <v>26</v>
      </c>
      <c r="B63" s="538" t="s">
        <v>4815</v>
      </c>
      <c r="C63" s="499" t="str">
        <f>VLOOKUP((LEFT(B63,3)),'ships name'!A:C,2,FALSE)</f>
        <v>EVER ETHIC</v>
      </c>
      <c r="D63" s="809" t="str">
        <f>VLOOKUP(C63,'ships name'!B:C,2,FALSE)</f>
        <v xml:space="preserve"> </v>
      </c>
      <c r="E63" s="487" t="str">
        <f t="shared" si="40"/>
        <v>133W</v>
      </c>
      <c r="F63" s="487" t="str">
        <f t="shared" ref="F63" si="44">RIGHT(B63,3)&amp;"E"</f>
        <v>133E</v>
      </c>
      <c r="G63" s="487" t="s">
        <v>4819</v>
      </c>
      <c r="H63" s="487">
        <f>H62+7</f>
        <v>43637</v>
      </c>
      <c r="I63" s="487">
        <f t="shared" si="42"/>
        <v>43638</v>
      </c>
      <c r="J63" s="487">
        <f t="shared" si="42"/>
        <v>43639</v>
      </c>
      <c r="K63" s="1443">
        <f>J63+11</f>
        <v>43650</v>
      </c>
      <c r="L63" s="1443"/>
      <c r="M63" s="1070">
        <f>J63+13</f>
        <v>43652</v>
      </c>
      <c r="N63" s="814"/>
    </row>
    <row r="64" spans="1:18" s="103" customFormat="1" ht="19.899999999999999" customHeight="1">
      <c r="A64" s="774">
        <f>A63+1</f>
        <v>27</v>
      </c>
      <c r="B64" s="757" t="s">
        <v>4816</v>
      </c>
      <c r="C64" s="499" t="str">
        <f>VLOOKUP((LEFT(B64,3)),'ships name'!A:C,2,FALSE)</f>
        <v>EVER SHINE</v>
      </c>
      <c r="D64" s="809" t="str">
        <f>VLOOKUP(C64,'ships name'!B:C,2,FALSE)</f>
        <v xml:space="preserve"> </v>
      </c>
      <c r="E64" s="487" t="str">
        <f t="shared" si="40"/>
        <v>103W</v>
      </c>
      <c r="F64" s="487" t="str">
        <f t="shared" ref="F64" si="45">RIGHT(B64,3)&amp;"E"</f>
        <v>103E</v>
      </c>
      <c r="G64" s="487" t="s">
        <v>4820</v>
      </c>
      <c r="H64" s="487">
        <f>H63+7</f>
        <v>43644</v>
      </c>
      <c r="I64" s="487">
        <f t="shared" si="42"/>
        <v>43645</v>
      </c>
      <c r="J64" s="487">
        <f t="shared" si="42"/>
        <v>43646</v>
      </c>
      <c r="K64" s="1443">
        <f>J64+11</f>
        <v>43657</v>
      </c>
      <c r="L64" s="1443"/>
      <c r="M64" s="1070">
        <f>J64+13</f>
        <v>43659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214" t="s">
        <v>4542</v>
      </c>
      <c r="B66" s="1215"/>
      <c r="C66" s="1215"/>
      <c r="D66" s="550"/>
      <c r="E66" s="1255" t="s">
        <v>74</v>
      </c>
      <c r="F66" s="1255"/>
      <c r="G66" s="551"/>
      <c r="H66" s="1255" t="s">
        <v>256</v>
      </c>
      <c r="I66" s="1255"/>
      <c r="J66" s="1444"/>
      <c r="K66" s="1419" t="s">
        <v>2</v>
      </c>
      <c r="L66" s="1420"/>
      <c r="M66" s="1420"/>
      <c r="N66" s="103"/>
      <c r="O66" s="103"/>
      <c r="P66" s="103"/>
      <c r="Q66" s="103"/>
      <c r="R66" s="103"/>
    </row>
    <row r="67" spans="1:18" s="103" customFormat="1" ht="19.899999999999999" customHeight="1">
      <c r="A67" s="1229" t="s">
        <v>3</v>
      </c>
      <c r="B67" s="1254" t="s">
        <v>4</v>
      </c>
      <c r="C67" s="1254" t="s">
        <v>5</v>
      </c>
      <c r="D67" s="1153" t="s">
        <v>4291</v>
      </c>
      <c r="E67" s="1154" t="s">
        <v>6</v>
      </c>
      <c r="F67" s="1155"/>
      <c r="G67" s="1156"/>
      <c r="H67" s="514" t="s">
        <v>7</v>
      </c>
      <c r="I67" s="514" t="s">
        <v>8</v>
      </c>
      <c r="J67" s="514" t="s">
        <v>9</v>
      </c>
      <c r="K67" s="1441" t="s">
        <v>3536</v>
      </c>
      <c r="L67" s="1442"/>
      <c r="M67" s="1071" t="s">
        <v>253</v>
      </c>
      <c r="N67" s="928"/>
    </row>
    <row r="68" spans="1:18" s="103" customFormat="1" ht="19.899999999999999" customHeight="1">
      <c r="A68" s="1428"/>
      <c r="B68" s="1430"/>
      <c r="C68" s="1430"/>
      <c r="D68" s="1097"/>
      <c r="E68" s="1243" t="s">
        <v>13</v>
      </c>
      <c r="F68" s="1453" t="s">
        <v>14</v>
      </c>
      <c r="G68" s="1454"/>
      <c r="H68" s="439" t="s">
        <v>15</v>
      </c>
      <c r="I68" s="439" t="s">
        <v>16</v>
      </c>
      <c r="J68" s="439" t="s">
        <v>17</v>
      </c>
      <c r="K68" s="1417" t="s">
        <v>3535</v>
      </c>
      <c r="L68" s="1418"/>
      <c r="M68" s="1072" t="s">
        <v>273</v>
      </c>
      <c r="N68" s="928"/>
      <c r="Q68" s="223"/>
    </row>
    <row r="69" spans="1:18" s="103" customFormat="1" ht="19.899999999999999" customHeight="1" thickBot="1">
      <c r="A69" s="1429"/>
      <c r="B69" s="1431"/>
      <c r="C69" s="1431"/>
      <c r="D69" s="1098"/>
      <c r="E69" s="1223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31"/>
      <c r="L69" s="1431"/>
      <c r="M69" s="1067"/>
      <c r="N69" s="928"/>
      <c r="Q69" s="223"/>
    </row>
    <row r="70" spans="1:18" s="103" customFormat="1" ht="19.899999999999999" customHeight="1">
      <c r="A70" s="537">
        <v>23</v>
      </c>
      <c r="B70" s="531" t="s">
        <v>4543</v>
      </c>
      <c r="C70" s="493" t="str">
        <f>VLOOKUP((LEFT(B70,3)),'ships name'!A:C,2,FALSE)</f>
        <v>COSCO AFRICA</v>
      </c>
      <c r="D70" s="812" t="str">
        <f>VLOOKUP(C70,'ships name'!B:C,2,FALSE)</f>
        <v>中远非洲</v>
      </c>
      <c r="E70" s="501" t="str">
        <f>LEFT(F70,3)&amp;"W"</f>
        <v>053W</v>
      </c>
      <c r="F70" s="501" t="str">
        <f>RIGHT(B70,3)&amp;"N"</f>
        <v>053N</v>
      </c>
      <c r="G70" s="501" t="s">
        <v>4825</v>
      </c>
      <c r="H70" s="501">
        <f>I70-1</f>
        <v>43617</v>
      </c>
      <c r="I70" s="501">
        <f>J70-1</f>
        <v>43618</v>
      </c>
      <c r="J70" s="501">
        <v>43619</v>
      </c>
      <c r="K70" s="1205">
        <f>J70+12</f>
        <v>43631</v>
      </c>
      <c r="L70" s="1205"/>
      <c r="M70" s="1073">
        <f>J70+15</f>
        <v>43634</v>
      </c>
      <c r="N70" s="928"/>
      <c r="Q70" s="223"/>
    </row>
    <row r="71" spans="1:18" s="103" customFormat="1" ht="19.899999999999999" customHeight="1">
      <c r="A71" s="774">
        <f>A70+1</f>
        <v>24</v>
      </c>
      <c r="B71" s="538" t="s">
        <v>4821</v>
      </c>
      <c r="C71" s="499" t="str">
        <f>VLOOKUP((LEFT(B71,3)),'ships name'!A:C,2,FALSE)</f>
        <v>XIN BEIJING</v>
      </c>
      <c r="D71" s="809" t="str">
        <f>VLOOKUP(C71,'ships name'!B:C,2,FALSE)</f>
        <v xml:space="preserve"> </v>
      </c>
      <c r="E71" s="487" t="str">
        <f>LEFT(F71,3)&amp;"W"</f>
        <v>109W</v>
      </c>
      <c r="F71" s="487" t="str">
        <f t="shared" ref="F71" si="46">RIGHT(B71,3)&amp;"N"</f>
        <v>109N</v>
      </c>
      <c r="G71" s="487" t="s">
        <v>4826</v>
      </c>
      <c r="H71" s="487">
        <f>H70+7</f>
        <v>43624</v>
      </c>
      <c r="I71" s="487">
        <f t="shared" ref="I71" si="47">J71-1</f>
        <v>43625</v>
      </c>
      <c r="J71" s="487">
        <f>J70+7</f>
        <v>43626</v>
      </c>
      <c r="K71" s="1438">
        <f>J71+12</f>
        <v>43638</v>
      </c>
      <c r="L71" s="1439"/>
      <c r="M71" s="1070">
        <f t="shared" ref="M71" si="48">J71+16</f>
        <v>43642</v>
      </c>
      <c r="N71" s="814"/>
      <c r="Q71" s="223"/>
    </row>
    <row r="72" spans="1:18" s="103" customFormat="1" ht="19.899999999999999" customHeight="1">
      <c r="A72" s="774">
        <f>A71+1</f>
        <v>25</v>
      </c>
      <c r="B72" s="538" t="s">
        <v>4822</v>
      </c>
      <c r="C72" s="499" t="str">
        <f>VLOOKUP((LEFT(B72,3)),'ships name'!A:C,2,FALSE)</f>
        <v>CSCL AUTUMN</v>
      </c>
      <c r="D72" s="809" t="str">
        <f>VLOOKUP(C72,'ships name'!B:C,2,FALSE)</f>
        <v xml:space="preserve"> </v>
      </c>
      <c r="E72" s="487" t="str">
        <f>LEFT(F72,3)&amp;"W"</f>
        <v>024W</v>
      </c>
      <c r="F72" s="487" t="str">
        <f t="shared" ref="F72" si="49">RIGHT(B72,3)&amp;"N"</f>
        <v>024N</v>
      </c>
      <c r="G72" s="958" t="s">
        <v>4827</v>
      </c>
      <c r="H72" s="487">
        <f>H71+7</f>
        <v>43631</v>
      </c>
      <c r="I72" s="487">
        <f t="shared" ref="I72" si="50">J72-1</f>
        <v>43632</v>
      </c>
      <c r="J72" s="487">
        <f>J71+7</f>
        <v>43633</v>
      </c>
      <c r="K72" s="1438">
        <f>J72+12</f>
        <v>43645</v>
      </c>
      <c r="L72" s="1439"/>
      <c r="M72" s="1070">
        <f t="shared" ref="M72" si="51">J72+16</f>
        <v>43649</v>
      </c>
      <c r="N72" s="814"/>
    </row>
    <row r="73" spans="1:18" s="103" customFormat="1" ht="19.899999999999999" customHeight="1">
      <c r="A73" s="774">
        <f>A72+1</f>
        <v>26</v>
      </c>
      <c r="B73" s="538" t="s">
        <v>4823</v>
      </c>
      <c r="C73" s="949" t="str">
        <f>VLOOKUP((LEFT(B73,3)),'ships name'!A:C,2,FALSE)</f>
        <v>COSCO OCEANIA</v>
      </c>
      <c r="D73" s="809" t="str">
        <f>VLOOKUP(C73,'ships name'!B:C,2,FALSE)</f>
        <v>东方大洋洲</v>
      </c>
      <c r="E73" s="487" t="str">
        <f>LEFT(F73,3)&amp;"W"</f>
        <v>068W</v>
      </c>
      <c r="F73" s="487" t="str">
        <f t="shared" ref="F73" si="52">RIGHT(B73,3)&amp;"N"</f>
        <v>068N</v>
      </c>
      <c r="G73" s="487" t="s">
        <v>4828</v>
      </c>
      <c r="H73" s="487">
        <f>H72+7</f>
        <v>43638</v>
      </c>
      <c r="I73" s="487">
        <f t="shared" ref="I73" si="53">J73-1</f>
        <v>43639</v>
      </c>
      <c r="J73" s="487">
        <f>J72+7</f>
        <v>43640</v>
      </c>
      <c r="K73" s="1438">
        <f>J73+12</f>
        <v>43652</v>
      </c>
      <c r="L73" s="1439"/>
      <c r="M73" s="1070">
        <f t="shared" ref="M73" si="54">J73+16</f>
        <v>43656</v>
      </c>
      <c r="N73" s="814"/>
    </row>
    <row r="74" spans="1:18" s="103" customFormat="1" ht="19.899999999999999" customHeight="1">
      <c r="A74" s="774">
        <f>A73+1</f>
        <v>27</v>
      </c>
      <c r="B74" s="757" t="s">
        <v>4824</v>
      </c>
      <c r="C74" s="499" t="str">
        <f>VLOOKUP((LEFT(B74,3)),'ships name'!A:C,2,FALSE)</f>
        <v>COSCO YANTIAN</v>
      </c>
      <c r="D74" s="809" t="str">
        <f>VLOOKUP(C74,'ships name'!B:C,2,FALSE)</f>
        <v>中远盐田</v>
      </c>
      <c r="E74" s="487" t="str">
        <f>LEFT(F74,3)&amp;"W"</f>
        <v>088W</v>
      </c>
      <c r="F74" s="487" t="str">
        <f t="shared" ref="F74" si="55">RIGHT(B74,3)&amp;"N"</f>
        <v>088N</v>
      </c>
      <c r="G74" s="487" t="s">
        <v>4829</v>
      </c>
      <c r="H74" s="487">
        <f>H73+7</f>
        <v>43645</v>
      </c>
      <c r="I74" s="487">
        <f t="shared" ref="I74" si="56">J74-1</f>
        <v>43646</v>
      </c>
      <c r="J74" s="487">
        <f>J73+7</f>
        <v>43647</v>
      </c>
      <c r="K74" s="1438">
        <f>J74+12</f>
        <v>43659</v>
      </c>
      <c r="L74" s="1439"/>
      <c r="M74" s="1070">
        <f t="shared" ref="M74" si="57">J74+16</f>
        <v>43663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8" t="s">
        <v>0</v>
      </c>
      <c r="B2" s="1278"/>
      <c r="C2" s="1278"/>
      <c r="D2" s="1278"/>
      <c r="E2" s="1278"/>
      <c r="F2" s="1278"/>
      <c r="G2" s="1278"/>
      <c r="H2" s="1278"/>
      <c r="I2" s="1278"/>
      <c r="J2" s="1278"/>
      <c r="K2" s="1278"/>
      <c r="L2" s="1278"/>
      <c r="M2" s="1278"/>
      <c r="N2" s="1278"/>
      <c r="O2" s="1278"/>
    </row>
    <row r="3" spans="1:17" ht="28.15" customHeight="1">
      <c r="A3" s="1122"/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</row>
    <row r="4" spans="1:17" ht="28.15" customHeight="1">
      <c r="A4" s="1278" t="str">
        <f>IA!A4</f>
        <v>2019年06月船期表</v>
      </c>
      <c r="B4" s="1278"/>
      <c r="C4" s="1278"/>
      <c r="D4" s="1278"/>
      <c r="E4" s="1278"/>
      <c r="F4" s="1278"/>
      <c r="G4" s="1278"/>
      <c r="H4" s="1278"/>
      <c r="I4" s="1278"/>
      <c r="J4" s="1278"/>
      <c r="K4" s="1278"/>
      <c r="L4" s="1278"/>
      <c r="M4" s="1278"/>
      <c r="N4" s="1278"/>
      <c r="O4" s="1278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41" t="s">
        <v>274</v>
      </c>
      <c r="B6" s="1242"/>
      <c r="C6" s="1242"/>
      <c r="D6" s="1182" t="s">
        <v>74</v>
      </c>
      <c r="E6" s="1182"/>
      <c r="F6" s="1182"/>
      <c r="G6" s="1182"/>
      <c r="H6" s="1182" t="s">
        <v>75</v>
      </c>
      <c r="I6" s="1182"/>
      <c r="J6" s="1182"/>
      <c r="K6" s="1522" t="s">
        <v>2</v>
      </c>
      <c r="L6" s="1523"/>
      <c r="M6" s="1523"/>
      <c r="N6" s="1523"/>
      <c r="O6" s="1523"/>
      <c r="P6" s="1524"/>
      <c r="Q6" s="203"/>
    </row>
    <row r="7" spans="1:17" s="103" customFormat="1" ht="19.899999999999999" customHeight="1">
      <c r="A7" s="1515" t="s">
        <v>3</v>
      </c>
      <c r="B7" s="1153" t="s">
        <v>4</v>
      </c>
      <c r="C7" s="1153" t="s">
        <v>5</v>
      </c>
      <c r="D7" s="1153" t="s">
        <v>6</v>
      </c>
      <c r="E7" s="1153"/>
      <c r="F7" s="1153"/>
      <c r="G7" s="1153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094"/>
      <c r="B8" s="1096"/>
      <c r="C8" s="1096"/>
      <c r="D8" s="1096" t="s">
        <v>232</v>
      </c>
      <c r="E8" s="1096"/>
      <c r="F8" s="1096" t="s">
        <v>122</v>
      </c>
      <c r="G8" s="1096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516"/>
      <c r="B9" s="1501"/>
      <c r="C9" s="1501"/>
      <c r="D9" s="1501"/>
      <c r="E9" s="1501"/>
      <c r="F9" s="1501"/>
      <c r="G9" s="1501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07">
        <v>14</v>
      </c>
      <c r="B10" s="1248" t="s">
        <v>284</v>
      </c>
      <c r="C10" s="110" t="str">
        <f>VLOOKUP(B10,'ships name'!A:C,2,FALSE)</f>
        <v>CMA CGM VELA</v>
      </c>
      <c r="D10" s="1195" t="str">
        <f>TEXT(LEFT(F10,3)-1,"000")&amp;"E"</f>
        <v>190E</v>
      </c>
      <c r="E10" s="1195"/>
      <c r="F10" s="1504" t="s">
        <v>285</v>
      </c>
      <c r="G10" s="1195"/>
      <c r="H10" s="1205"/>
      <c r="I10" s="1205">
        <f>J10-1</f>
        <v>42836</v>
      </c>
      <c r="J10" s="1132">
        <v>42837</v>
      </c>
      <c r="K10" s="1472">
        <f>J10+8</f>
        <v>42845</v>
      </c>
      <c r="L10" s="1472">
        <f>J10+24</f>
        <v>42861</v>
      </c>
      <c r="M10" s="1472">
        <f>J10+29</f>
        <v>42866</v>
      </c>
      <c r="N10" s="1472">
        <f>J10+30</f>
        <v>42867</v>
      </c>
      <c r="O10" s="1472">
        <f>J10+33</f>
        <v>42870</v>
      </c>
      <c r="P10" s="1472">
        <f>J10+27</f>
        <v>42864</v>
      </c>
      <c r="Q10" s="1467">
        <f>J10+40</f>
        <v>42877</v>
      </c>
    </row>
    <row r="11" spans="1:17" s="103" customFormat="1" ht="19.899999999999999" customHeight="1">
      <c r="A11" s="1508"/>
      <c r="B11" s="1233"/>
      <c r="C11" s="109" t="str">
        <f>VLOOKUP(B10,'ships name'!A:C,3,FALSE)</f>
        <v xml:space="preserve"> </v>
      </c>
      <c r="D11" s="1195"/>
      <c r="E11" s="1195"/>
      <c r="F11" s="1233"/>
      <c r="G11" s="1251"/>
      <c r="H11" s="1195"/>
      <c r="I11" s="1195"/>
      <c r="J11" s="1521"/>
      <c r="K11" s="1464"/>
      <c r="L11" s="1464"/>
      <c r="M11" s="1464"/>
      <c r="N11" s="1464"/>
      <c r="O11" s="1464"/>
      <c r="P11" s="1464"/>
      <c r="Q11" s="1468"/>
    </row>
    <row r="12" spans="1:17" s="103" customFormat="1" ht="19.899999999999999" customHeight="1">
      <c r="A12" s="1509">
        <f>A10+1</f>
        <v>15</v>
      </c>
      <c r="B12" s="1233" t="s">
        <v>3153</v>
      </c>
      <c r="C12" s="109" t="str">
        <f>VLOOKUP(B12,'ships name'!A:C,2,FALSE)</f>
        <v>TO BE ADVISED</v>
      </c>
      <c r="D12" s="1195" t="e">
        <f>TEXT(LEFT(F12,3)-1,"000")&amp;"E"</f>
        <v>#VALUE!</v>
      </c>
      <c r="E12" s="1195"/>
      <c r="F12" s="1505"/>
      <c r="G12" s="1195"/>
      <c r="H12" s="1190"/>
      <c r="I12" s="1205">
        <f>I10+7</f>
        <v>42843</v>
      </c>
      <c r="J12" s="1488">
        <f>J10+7</f>
        <v>42844</v>
      </c>
      <c r="K12" s="1473">
        <f>J12+8</f>
        <v>42852</v>
      </c>
      <c r="L12" s="1473">
        <f>J12+23</f>
        <v>42867</v>
      </c>
      <c r="M12" s="1473">
        <f>J12+28</f>
        <v>42872</v>
      </c>
      <c r="N12" s="1473">
        <f>J12+31</f>
        <v>42875</v>
      </c>
      <c r="O12" s="1473">
        <f>J12+33</f>
        <v>42877</v>
      </c>
      <c r="P12" s="1473">
        <f>J12+27</f>
        <v>42871</v>
      </c>
      <c r="Q12" s="1469">
        <f>J12+40</f>
        <v>42884</v>
      </c>
    </row>
    <row r="13" spans="1:17" s="103" customFormat="1" ht="19.899999999999999" customHeight="1">
      <c r="A13" s="1508"/>
      <c r="B13" s="1195"/>
      <c r="C13" s="109" t="str">
        <f>VLOOKUP(B12,'ships name'!A:C,3,FALSE)</f>
        <v>TO BE ADVISED</v>
      </c>
      <c r="D13" s="1195"/>
      <c r="E13" s="1195"/>
      <c r="F13" s="1195"/>
      <c r="G13" s="1251"/>
      <c r="H13" s="1195"/>
      <c r="I13" s="1195"/>
      <c r="J13" s="1489"/>
      <c r="K13" s="1474"/>
      <c r="L13" s="1474"/>
      <c r="M13" s="1474"/>
      <c r="N13" s="1474"/>
      <c r="O13" s="1474"/>
      <c r="P13" s="1474"/>
      <c r="Q13" s="1470"/>
    </row>
    <row r="14" spans="1:17" s="171" customFormat="1" ht="19.899999999999999" customHeight="1">
      <c r="A14" s="1509">
        <f>A12+1</f>
        <v>16</v>
      </c>
      <c r="B14" s="1510" t="s">
        <v>3149</v>
      </c>
      <c r="C14" s="109" t="str">
        <f>VLOOKUP(B14,'ships name'!A:C,2,FALSE)</f>
        <v>CMA CGM PEGASUS</v>
      </c>
      <c r="D14" s="1195" t="str">
        <f>TEXT(LEFT(F14,3)-1,"000")&amp;"E"</f>
        <v>194E</v>
      </c>
      <c r="E14" s="1195"/>
      <c r="F14" s="1505" t="s">
        <v>3150</v>
      </c>
      <c r="G14" s="1195"/>
      <c r="H14" s="1190"/>
      <c r="I14" s="1205">
        <f>I12+7</f>
        <v>42850</v>
      </c>
      <c r="J14" s="1488">
        <f>J12+7</f>
        <v>42851</v>
      </c>
      <c r="K14" s="1473">
        <f>J14+8</f>
        <v>42859</v>
      </c>
      <c r="L14" s="1473">
        <f>J14+23</f>
        <v>42874</v>
      </c>
      <c r="M14" s="1473">
        <f>J14+28</f>
        <v>42879</v>
      </c>
      <c r="N14" s="1473">
        <f>J14+31</f>
        <v>42882</v>
      </c>
      <c r="O14" s="1473">
        <f>J14+33</f>
        <v>42884</v>
      </c>
      <c r="P14" s="1473">
        <f>J14+27</f>
        <v>42878</v>
      </c>
      <c r="Q14" s="1469">
        <f>J14+40</f>
        <v>42891</v>
      </c>
    </row>
    <row r="15" spans="1:17" s="171" customFormat="1" ht="19.899999999999999" customHeight="1">
      <c r="A15" s="1508"/>
      <c r="B15" s="1510"/>
      <c r="C15" s="109" t="str">
        <f>VLOOKUP(B14,'ships name'!A:C,3,FALSE)</f>
        <v xml:space="preserve"> </v>
      </c>
      <c r="D15" s="1195"/>
      <c r="E15" s="1195"/>
      <c r="F15" s="1195"/>
      <c r="G15" s="1251"/>
      <c r="H15" s="1195"/>
      <c r="I15" s="1195"/>
      <c r="J15" s="1489"/>
      <c r="K15" s="1474"/>
      <c r="L15" s="1474"/>
      <c r="M15" s="1474"/>
      <c r="N15" s="1474"/>
      <c r="O15" s="1474"/>
      <c r="P15" s="1474"/>
      <c r="Q15" s="1470"/>
    </row>
    <row r="16" spans="1:17" s="171" customFormat="1" ht="19.899999999999999" customHeight="1">
      <c r="A16" s="1509">
        <f>A14+1</f>
        <v>17</v>
      </c>
      <c r="B16" s="1510" t="s">
        <v>3151</v>
      </c>
      <c r="C16" s="109" t="str">
        <f>VLOOKUP(B16,'ships name'!A:C,2,FALSE)</f>
        <v>CMA CGM HYDRA</v>
      </c>
      <c r="D16" s="1195" t="str">
        <f>TEXT(LEFT(F16,3)-1,"000")&amp;"E"</f>
        <v>196E</v>
      </c>
      <c r="E16" s="1195"/>
      <c r="F16" s="1505" t="s">
        <v>3152</v>
      </c>
      <c r="G16" s="1195"/>
      <c r="H16" s="1190"/>
      <c r="I16" s="1205">
        <f>I14+7</f>
        <v>42857</v>
      </c>
      <c r="J16" s="1488">
        <f>J14+7</f>
        <v>42858</v>
      </c>
      <c r="K16" s="1473">
        <f>J16+8</f>
        <v>42866</v>
      </c>
      <c r="L16" s="1473">
        <f>J16+23</f>
        <v>42881</v>
      </c>
      <c r="M16" s="1473">
        <f>J16+28</f>
        <v>42886</v>
      </c>
      <c r="N16" s="1473">
        <f>J16+31</f>
        <v>42889</v>
      </c>
      <c r="O16" s="1473">
        <f>J16+33</f>
        <v>42891</v>
      </c>
      <c r="P16" s="1473">
        <f>J16+27</f>
        <v>42885</v>
      </c>
      <c r="Q16" s="1469">
        <f>J16+40</f>
        <v>42898</v>
      </c>
    </row>
    <row r="17" spans="1:17" s="171" customFormat="1" ht="19.899999999999999" customHeight="1">
      <c r="A17" s="1508"/>
      <c r="B17" s="1510"/>
      <c r="C17" s="109" t="str">
        <f>VLOOKUP(B16,'ships name'!A:C,3,FALSE)</f>
        <v xml:space="preserve"> </v>
      </c>
      <c r="D17" s="1195"/>
      <c r="E17" s="1195"/>
      <c r="F17" s="1195"/>
      <c r="G17" s="1251"/>
      <c r="H17" s="1195"/>
      <c r="I17" s="1195"/>
      <c r="J17" s="1489"/>
      <c r="K17" s="1474"/>
      <c r="L17" s="1474"/>
      <c r="M17" s="1474"/>
      <c r="N17" s="1474"/>
      <c r="O17" s="1474"/>
      <c r="P17" s="1474"/>
      <c r="Q17" s="1470"/>
    </row>
    <row r="18" spans="1:17" s="171" customFormat="1" ht="19.899999999999999" customHeight="1">
      <c r="A18" s="1509">
        <f>A16+1</f>
        <v>18</v>
      </c>
      <c r="B18" s="1251"/>
      <c r="C18" s="109" t="e">
        <f>VLOOKUP(B18,'ships name'!A:C,2,FALSE)</f>
        <v>#N/A</v>
      </c>
      <c r="D18" s="1195" t="e">
        <f>TEXT(LEFT(F18,3)-1,"000")&amp;"E"</f>
        <v>#VALUE!</v>
      </c>
      <c r="E18" s="1195"/>
      <c r="F18" s="1505"/>
      <c r="G18" s="1195"/>
      <c r="H18" s="1190"/>
      <c r="I18" s="1190">
        <f>I16+7</f>
        <v>42864</v>
      </c>
      <c r="J18" s="1490">
        <f>J16+7</f>
        <v>42865</v>
      </c>
      <c r="K18" s="1464">
        <f>J18+8</f>
        <v>42873</v>
      </c>
      <c r="L18" s="1464">
        <f>J18+23</f>
        <v>42888</v>
      </c>
      <c r="M18" s="1464">
        <f>J18+28</f>
        <v>42893</v>
      </c>
      <c r="N18" s="1464">
        <f>J18+31</f>
        <v>42896</v>
      </c>
      <c r="O18" s="1464">
        <f>J18+33</f>
        <v>42898</v>
      </c>
      <c r="P18" s="1464">
        <f>J18+27</f>
        <v>42892</v>
      </c>
      <c r="Q18" s="1468">
        <f>J18+40</f>
        <v>42905</v>
      </c>
    </row>
    <row r="19" spans="1:17" s="171" customFormat="1" ht="19.899999999999999" customHeight="1">
      <c r="A19" s="1508"/>
      <c r="B19" s="1252"/>
      <c r="C19" s="111" t="e">
        <f>VLOOKUP(B18,'ships name'!A:C,3,FALSE)</f>
        <v>#N/A</v>
      </c>
      <c r="D19" s="1191"/>
      <c r="E19" s="1191"/>
      <c r="F19" s="1191"/>
      <c r="G19" s="1191"/>
      <c r="H19" s="1191"/>
      <c r="I19" s="1191"/>
      <c r="J19" s="1491"/>
      <c r="K19" s="1465"/>
      <c r="L19" s="1465"/>
      <c r="M19" s="1465"/>
      <c r="N19" s="1465"/>
      <c r="O19" s="1465"/>
      <c r="P19" s="1465"/>
      <c r="Q19" s="1471"/>
    </row>
    <row r="20" spans="1:17" s="100" customFormat="1" ht="25.9" customHeight="1">
      <c r="A20" s="1241" t="s">
        <v>286</v>
      </c>
      <c r="B20" s="1242"/>
      <c r="C20" s="1242"/>
      <c r="D20" s="1182" t="s">
        <v>74</v>
      </c>
      <c r="E20" s="1182"/>
      <c r="F20" s="1182"/>
      <c r="G20" s="1182"/>
      <c r="H20" s="1182" t="s">
        <v>75</v>
      </c>
      <c r="I20" s="1182"/>
      <c r="J20" s="1182"/>
      <c r="K20" s="1522" t="s">
        <v>2</v>
      </c>
      <c r="L20" s="1523"/>
      <c r="M20" s="1523"/>
      <c r="N20" s="1523"/>
      <c r="O20" s="1523"/>
      <c r="P20" s="1524"/>
      <c r="Q20" s="203"/>
    </row>
    <row r="21" spans="1:17" s="103" customFormat="1" ht="19.899999999999999" customHeight="1">
      <c r="A21" s="1515" t="s">
        <v>3</v>
      </c>
      <c r="B21" s="1153" t="s">
        <v>4</v>
      </c>
      <c r="C21" s="1153" t="s">
        <v>5</v>
      </c>
      <c r="D21" s="1153" t="s">
        <v>6</v>
      </c>
      <c r="E21" s="1153"/>
      <c r="F21" s="1153"/>
      <c r="G21" s="1153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094"/>
      <c r="B22" s="1096"/>
      <c r="C22" s="1096"/>
      <c r="D22" s="1096" t="s">
        <v>232</v>
      </c>
      <c r="E22" s="1096"/>
      <c r="F22" s="1096" t="s">
        <v>122</v>
      </c>
      <c r="G22" s="1096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516"/>
      <c r="B23" s="1501"/>
      <c r="C23" s="1501"/>
      <c r="D23" s="1501"/>
      <c r="E23" s="1501"/>
      <c r="F23" s="1501"/>
      <c r="G23" s="1501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507">
        <v>14</v>
      </c>
      <c r="B24" s="1248" t="s">
        <v>298</v>
      </c>
      <c r="C24" s="110" t="str">
        <f>VLOOKUP(B24,'ships name'!A:C,2,FALSE)</f>
        <v>TAMPA TRIUMPH</v>
      </c>
      <c r="D24" s="1195"/>
      <c r="E24" s="1195"/>
      <c r="F24" s="1504" t="s">
        <v>299</v>
      </c>
      <c r="G24" s="1195"/>
      <c r="H24" s="1205"/>
      <c r="I24" s="1205">
        <f>J24-1</f>
        <v>42832</v>
      </c>
      <c r="J24" s="1132">
        <v>42833</v>
      </c>
      <c r="K24" s="1472">
        <f>J24+10</f>
        <v>42843</v>
      </c>
      <c r="L24" s="1472">
        <f>J24+27</f>
        <v>42860</v>
      </c>
      <c r="M24" s="1472">
        <f>J24+29</f>
        <v>42862</v>
      </c>
      <c r="N24" s="1472">
        <f>J24+32</f>
        <v>42865</v>
      </c>
      <c r="O24" s="1472">
        <f>J24+34</f>
        <v>42867</v>
      </c>
      <c r="P24" s="1472">
        <f>J24+24</f>
        <v>42857</v>
      </c>
      <c r="Q24" s="1467">
        <f>J24+44</f>
        <v>42877</v>
      </c>
    </row>
    <row r="25" spans="1:17" s="103" customFormat="1" ht="19.899999999999999" customHeight="1">
      <c r="A25" s="1508"/>
      <c r="B25" s="1233"/>
      <c r="C25" s="109" t="str">
        <f>VLOOKUP(B24,'ships name'!A:C,3,FALSE)</f>
        <v xml:space="preserve"> </v>
      </c>
      <c r="D25" s="1195"/>
      <c r="E25" s="1195"/>
      <c r="F25" s="1233"/>
      <c r="G25" s="1251"/>
      <c r="H25" s="1195"/>
      <c r="I25" s="1195"/>
      <c r="J25" s="1521"/>
      <c r="K25" s="1464"/>
      <c r="L25" s="1464"/>
      <c r="M25" s="1464"/>
      <c r="N25" s="1464"/>
      <c r="O25" s="1464"/>
      <c r="P25" s="1464"/>
      <c r="Q25" s="1468"/>
    </row>
    <row r="26" spans="1:17" s="103" customFormat="1" ht="19.899999999999999" customHeight="1">
      <c r="A26" s="1509">
        <f>A24+1</f>
        <v>15</v>
      </c>
      <c r="B26" s="1233" t="s">
        <v>300</v>
      </c>
      <c r="C26" s="109" t="str">
        <f>VLOOKUP(B26,'ships name'!A:C,2,FALSE)</f>
        <v>MALIK AL ASHTAR</v>
      </c>
      <c r="D26" s="1195"/>
      <c r="E26" s="1195"/>
      <c r="F26" s="1505" t="s">
        <v>285</v>
      </c>
      <c r="G26" s="1195"/>
      <c r="H26" s="1190"/>
      <c r="I26" s="1205">
        <f>I24+7</f>
        <v>42839</v>
      </c>
      <c r="J26" s="1488">
        <f>J24+7</f>
        <v>42840</v>
      </c>
      <c r="K26" s="1473">
        <f>J26+22</f>
        <v>42862</v>
      </c>
      <c r="L26" s="1473">
        <f>J26+23</f>
        <v>42863</v>
      </c>
      <c r="M26" s="1473">
        <f>J26+28</f>
        <v>42868</v>
      </c>
      <c r="N26" s="1473">
        <f>J26+31</f>
        <v>42871</v>
      </c>
      <c r="O26" s="1473">
        <f>J26+33</f>
        <v>42873</v>
      </c>
      <c r="P26" s="1473">
        <f>J26+24</f>
        <v>42864</v>
      </c>
      <c r="Q26" s="1469">
        <f>J26+44</f>
        <v>42884</v>
      </c>
    </row>
    <row r="27" spans="1:17" s="103" customFormat="1" ht="19.899999999999999" customHeight="1">
      <c r="A27" s="1508"/>
      <c r="B27" s="1195"/>
      <c r="C27" s="109" t="str">
        <f>VLOOKUP(B26,'ships name'!A:C,3,FALSE)</f>
        <v xml:space="preserve"> </v>
      </c>
      <c r="D27" s="1195"/>
      <c r="E27" s="1195"/>
      <c r="F27" s="1195"/>
      <c r="G27" s="1251"/>
      <c r="H27" s="1195"/>
      <c r="I27" s="1195"/>
      <c r="J27" s="1489"/>
      <c r="K27" s="1474"/>
      <c r="L27" s="1474"/>
      <c r="M27" s="1474"/>
      <c r="N27" s="1474"/>
      <c r="O27" s="1474"/>
      <c r="P27" s="1474"/>
      <c r="Q27" s="1470"/>
    </row>
    <row r="28" spans="1:17" s="171" customFormat="1" ht="19.899999999999999" customHeight="1">
      <c r="A28" s="1509">
        <f>A26+1</f>
        <v>16</v>
      </c>
      <c r="B28" s="1510" t="s">
        <v>301</v>
      </c>
      <c r="C28" s="109" t="str">
        <f>VLOOKUP(B28,'ships name'!A:C,2,FALSE)</f>
        <v>AL RIFFA</v>
      </c>
      <c r="D28" s="1195"/>
      <c r="E28" s="1195"/>
      <c r="F28" s="1505" t="s">
        <v>302</v>
      </c>
      <c r="G28" s="1195"/>
      <c r="H28" s="1190"/>
      <c r="I28" s="1205">
        <f>I26+7</f>
        <v>42846</v>
      </c>
      <c r="J28" s="1488">
        <f>J26+7</f>
        <v>42847</v>
      </c>
      <c r="K28" s="1473">
        <f>J28+22</f>
        <v>42869</v>
      </c>
      <c r="L28" s="1473">
        <f>J28+23</f>
        <v>42870</v>
      </c>
      <c r="M28" s="1473">
        <f>J28+28</f>
        <v>42875</v>
      </c>
      <c r="N28" s="1473">
        <f>J28+31</f>
        <v>42878</v>
      </c>
      <c r="O28" s="1473">
        <f>J28+33</f>
        <v>42880</v>
      </c>
      <c r="P28" s="1473">
        <f>J28+24</f>
        <v>42871</v>
      </c>
      <c r="Q28" s="1469">
        <f>J28+44</f>
        <v>42891</v>
      </c>
    </row>
    <row r="29" spans="1:17" s="171" customFormat="1" ht="19.899999999999999" customHeight="1">
      <c r="A29" s="1508"/>
      <c r="B29" s="1510"/>
      <c r="C29" s="109" t="str">
        <f>VLOOKUP(B28,'ships name'!A:C,3,FALSE)</f>
        <v xml:space="preserve">  </v>
      </c>
      <c r="D29" s="1195"/>
      <c r="E29" s="1195"/>
      <c r="F29" s="1195"/>
      <c r="G29" s="1251"/>
      <c r="H29" s="1195"/>
      <c r="I29" s="1195"/>
      <c r="J29" s="1489"/>
      <c r="K29" s="1474"/>
      <c r="L29" s="1474"/>
      <c r="M29" s="1474"/>
      <c r="N29" s="1474"/>
      <c r="O29" s="1474"/>
      <c r="P29" s="1474"/>
      <c r="Q29" s="1470"/>
    </row>
    <row r="30" spans="1:17" s="171" customFormat="1" ht="19.899999999999999" customHeight="1">
      <c r="A30" s="1509">
        <f>A28+1</f>
        <v>17</v>
      </c>
      <c r="B30" s="1510"/>
      <c r="C30" s="109" t="e">
        <f>VLOOKUP(B30,'ships name'!A:C,2,FALSE)</f>
        <v>#N/A</v>
      </c>
      <c r="D30" s="1195"/>
      <c r="E30" s="1195"/>
      <c r="F30" s="1505"/>
      <c r="G30" s="1195"/>
      <c r="H30" s="1190"/>
      <c r="I30" s="1205">
        <f>I28+7</f>
        <v>42853</v>
      </c>
      <c r="J30" s="1488">
        <f>J28+7</f>
        <v>42854</v>
      </c>
      <c r="K30" s="1473">
        <f>J30+22</f>
        <v>42876</v>
      </c>
      <c r="L30" s="1473">
        <f>J30+23</f>
        <v>42877</v>
      </c>
      <c r="M30" s="1473">
        <f>J30+28</f>
        <v>42882</v>
      </c>
      <c r="N30" s="1473">
        <f>J30+31</f>
        <v>42885</v>
      </c>
      <c r="O30" s="1473">
        <f>J30+33</f>
        <v>42887</v>
      </c>
      <c r="P30" s="1473">
        <f>J30+24</f>
        <v>42878</v>
      </c>
      <c r="Q30" s="1469">
        <f>J30+44</f>
        <v>42898</v>
      </c>
    </row>
    <row r="31" spans="1:17" s="171" customFormat="1" ht="19.899999999999999" customHeight="1">
      <c r="A31" s="1508"/>
      <c r="B31" s="1510"/>
      <c r="C31" s="109" t="e">
        <f>VLOOKUP(B30,'ships name'!A:C,3,FALSE)</f>
        <v>#N/A</v>
      </c>
      <c r="D31" s="1195"/>
      <c r="E31" s="1195"/>
      <c r="F31" s="1195"/>
      <c r="G31" s="1251"/>
      <c r="H31" s="1195"/>
      <c r="I31" s="1195"/>
      <c r="J31" s="1489"/>
      <c r="K31" s="1474"/>
      <c r="L31" s="1474"/>
      <c r="M31" s="1474"/>
      <c r="N31" s="1474"/>
      <c r="O31" s="1474"/>
      <c r="P31" s="1474"/>
      <c r="Q31" s="1470"/>
    </row>
    <row r="32" spans="1:17" s="171" customFormat="1" ht="19.899999999999999" customHeight="1">
      <c r="A32" s="1509">
        <f>A30+1</f>
        <v>18</v>
      </c>
      <c r="B32" s="1251"/>
      <c r="C32" s="109" t="e">
        <f>VLOOKUP(B32,'ships name'!A:C,2,FALSE)</f>
        <v>#N/A</v>
      </c>
      <c r="D32" s="1195"/>
      <c r="E32" s="1195"/>
      <c r="F32" s="1505"/>
      <c r="G32" s="1195"/>
      <c r="H32" s="1190"/>
      <c r="I32" s="1190">
        <f>I30+7</f>
        <v>42860</v>
      </c>
      <c r="J32" s="1490">
        <f>J30+7</f>
        <v>42861</v>
      </c>
      <c r="K32" s="1464">
        <f>J32+22</f>
        <v>42883</v>
      </c>
      <c r="L32" s="1464">
        <f>J32+23</f>
        <v>42884</v>
      </c>
      <c r="M32" s="1464">
        <f>J32+28</f>
        <v>42889</v>
      </c>
      <c r="N32" s="1464">
        <f>J32+31</f>
        <v>42892</v>
      </c>
      <c r="O32" s="1464">
        <f>J32+33</f>
        <v>42894</v>
      </c>
      <c r="P32" s="1464">
        <f>J32+24</f>
        <v>42885</v>
      </c>
      <c r="Q32" s="1468">
        <f>J32+44</f>
        <v>42905</v>
      </c>
    </row>
    <row r="33" spans="1:17" s="171" customFormat="1" ht="19.899999999999999" customHeight="1">
      <c r="A33" s="1508"/>
      <c r="B33" s="1252"/>
      <c r="C33" s="111" t="e">
        <f>VLOOKUP(B32,'ships name'!A:C,3,FALSE)</f>
        <v>#N/A</v>
      </c>
      <c r="D33" s="1191"/>
      <c r="E33" s="1191"/>
      <c r="F33" s="1191"/>
      <c r="G33" s="1191"/>
      <c r="H33" s="1191"/>
      <c r="I33" s="1191"/>
      <c r="J33" s="1491"/>
      <c r="K33" s="1465"/>
      <c r="L33" s="1465"/>
      <c r="M33" s="1465"/>
      <c r="N33" s="1465"/>
      <c r="O33" s="1465"/>
      <c r="P33" s="1465"/>
      <c r="Q33" s="1471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41" t="s">
        <v>303</v>
      </c>
      <c r="B36" s="1242"/>
      <c r="C36" s="1242"/>
      <c r="D36" s="1182" t="str">
        <f>'EU1'!D6</f>
        <v>Terminal: CMICT</v>
      </c>
      <c r="E36" s="1182"/>
      <c r="F36" s="1182"/>
      <c r="G36" s="1182"/>
      <c r="H36" s="1182" t="str">
        <f>'EU1'!H6</f>
        <v>Agent: Xinggang</v>
      </c>
      <c r="I36" s="1182"/>
      <c r="J36" s="1182"/>
      <c r="K36" s="1182"/>
      <c r="L36" s="1183"/>
      <c r="M36" s="1518" t="s">
        <v>2</v>
      </c>
      <c r="N36" s="1518"/>
      <c r="O36" s="1519"/>
    </row>
    <row r="37" spans="1:17" s="103" customFormat="1" ht="19.899999999999999" hidden="1" customHeight="1">
      <c r="A37" s="1457" t="s">
        <v>3</v>
      </c>
      <c r="B37" s="1218" t="s">
        <v>4</v>
      </c>
      <c r="C37" s="1218" t="s">
        <v>5</v>
      </c>
      <c r="D37" s="1512" t="s">
        <v>6</v>
      </c>
      <c r="E37" s="1513"/>
      <c r="F37" s="1513"/>
      <c r="G37" s="1514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57"/>
      <c r="B38" s="1218"/>
      <c r="C38" s="1218"/>
      <c r="D38" s="1388" t="s">
        <v>121</v>
      </c>
      <c r="E38" s="1388" t="s">
        <v>142</v>
      </c>
      <c r="F38" s="1388" t="s">
        <v>122</v>
      </c>
      <c r="G38" s="1388" t="s">
        <v>143</v>
      </c>
      <c r="H38" s="109" t="s">
        <v>15</v>
      </c>
      <c r="I38" s="109" t="s">
        <v>16</v>
      </c>
      <c r="J38" s="194" t="s">
        <v>17</v>
      </c>
      <c r="K38" s="1482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58"/>
      <c r="B39" s="1219"/>
      <c r="C39" s="1219"/>
      <c r="D39" s="1219"/>
      <c r="E39" s="1219"/>
      <c r="F39" s="1219"/>
      <c r="G39" s="1219"/>
      <c r="H39" s="111" t="str">
        <f>'EU1'!H9</f>
        <v>2000 Fri</v>
      </c>
      <c r="I39" s="111">
        <f>'EU1'!I9</f>
        <v>0</v>
      </c>
      <c r="J39" s="197">
        <f>'EU1'!J9</f>
        <v>0</v>
      </c>
      <c r="K39" s="1483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57">
        <f>IA!A21</f>
        <v>31</v>
      </c>
      <c r="B40" s="1218" t="str">
        <f>'EU1'!B10</f>
        <v>CAG</v>
      </c>
      <c r="C40" s="178" t="str">
        <f>VLOOKUP(B40,'ships name'!A:C,2,FALSE)</f>
        <v>APL Changi</v>
      </c>
      <c r="D40" s="1218" t="str">
        <f>'EU1'!D10</f>
        <v>186E</v>
      </c>
      <c r="E40" s="1218">
        <f>'EU1'!E10</f>
        <v>0</v>
      </c>
      <c r="F40" s="1506" t="str">
        <f>'EU1'!F10</f>
        <v>187W</v>
      </c>
      <c r="G40" s="1218">
        <f>'EU1'!G10</f>
        <v>0</v>
      </c>
      <c r="H40" s="1212">
        <f>'EU1'!H10</f>
        <v>42833</v>
      </c>
      <c r="I40" s="1212">
        <f>'EU1'!I10</f>
        <v>42834</v>
      </c>
      <c r="J40" s="1355">
        <f>'EU1'!J10</f>
        <v>42834</v>
      </c>
      <c r="K40" s="1484" t="s">
        <v>72</v>
      </c>
      <c r="L40" s="1476">
        <f>J40+15</f>
        <v>42849</v>
      </c>
      <c r="M40" s="1205">
        <f>J40+33</f>
        <v>42867</v>
      </c>
      <c r="N40" s="1205">
        <f>M40+2</f>
        <v>42869</v>
      </c>
      <c r="O40" s="1188">
        <f>N40</f>
        <v>42869</v>
      </c>
    </row>
    <row r="41" spans="1:17" s="103" customFormat="1" ht="19.899999999999999" hidden="1" customHeight="1">
      <c r="A41" s="1229"/>
      <c r="B41" s="1254"/>
      <c r="C41" s="106" t="str">
        <f>VLOOKUP(B40,'ships name'!A:C,3,FALSE)</f>
        <v>美总樟宜</v>
      </c>
      <c r="D41" s="1254"/>
      <c r="E41" s="1254"/>
      <c r="F41" s="1254"/>
      <c r="G41" s="1254"/>
      <c r="H41" s="1205"/>
      <c r="I41" s="1205"/>
      <c r="J41" s="1492"/>
      <c r="K41" s="1482"/>
      <c r="L41" s="1477"/>
      <c r="M41" s="1190"/>
      <c r="N41" s="1190"/>
      <c r="O41" s="1192"/>
    </row>
    <row r="42" spans="1:17" s="103" customFormat="1" ht="19.899999999999999" hidden="1" customHeight="1">
      <c r="A42" s="1517">
        <f>IA!A23</f>
        <v>32</v>
      </c>
      <c r="B42" s="1251" t="str">
        <f>'EU1'!B12</f>
        <v>JLV</v>
      </c>
      <c r="C42" s="109" t="str">
        <f>VLOOKUP(B42,'ships name'!A:C,2,FALSE)</f>
        <v>CMA CGM JULES VERNE</v>
      </c>
      <c r="D42" s="1502" t="str">
        <f>'EU1'!D12</f>
        <v>188E</v>
      </c>
      <c r="E42" s="1502">
        <f>'EU1'!E12</f>
        <v>0</v>
      </c>
      <c r="F42" s="1502" t="str">
        <f>'EU1'!F12</f>
        <v>189W</v>
      </c>
      <c r="G42" s="1502">
        <f>'EU1'!G12</f>
        <v>0</v>
      </c>
      <c r="H42" s="1212">
        <f>'EU1'!H12</f>
        <v>42840</v>
      </c>
      <c r="I42" s="1212">
        <f>'EU1'!I12</f>
        <v>42841</v>
      </c>
      <c r="J42" s="1355">
        <f>'EU1'!J12</f>
        <v>42841</v>
      </c>
      <c r="K42" s="1484" t="s">
        <v>72</v>
      </c>
      <c r="L42" s="1476">
        <f>J42+15</f>
        <v>42856</v>
      </c>
      <c r="M42" s="1205">
        <f>J42+33</f>
        <v>42874</v>
      </c>
      <c r="N42" s="1205">
        <f>M42+2</f>
        <v>42876</v>
      </c>
      <c r="O42" s="1188">
        <f>N42</f>
        <v>42876</v>
      </c>
    </row>
    <row r="43" spans="1:17" s="103" customFormat="1" ht="19.899999999999999" hidden="1" customHeight="1">
      <c r="A43" s="1229"/>
      <c r="B43" s="1233"/>
      <c r="C43" s="109" t="str">
        <f>VLOOKUP(B42,'ships name'!A:C,3,FALSE)</f>
        <v>达飞凡尔纳</v>
      </c>
      <c r="D43" s="1233"/>
      <c r="E43" s="1233"/>
      <c r="F43" s="1233"/>
      <c r="G43" s="1233"/>
      <c r="H43" s="1205"/>
      <c r="I43" s="1205"/>
      <c r="J43" s="1492"/>
      <c r="K43" s="1482"/>
      <c r="L43" s="1477"/>
      <c r="M43" s="1190"/>
      <c r="N43" s="1190"/>
      <c r="O43" s="1192"/>
    </row>
    <row r="44" spans="1:17" s="103" customFormat="1" ht="19.899999999999999" hidden="1" customHeight="1">
      <c r="A44" s="1517">
        <f>IA!A25</f>
        <v>33</v>
      </c>
      <c r="B44" s="1511" t="str">
        <f>'EU1'!B14</f>
        <v>FOS</v>
      </c>
      <c r="C44" s="179" t="str">
        <f>VLOOKUP(B44,'ships name'!A:C,2,FALSE)</f>
        <v>CMA CGM GEORG FORSTER</v>
      </c>
      <c r="D44" s="1503" t="str">
        <f>'EU1'!D14</f>
        <v>012E</v>
      </c>
      <c r="E44" s="1503">
        <f>'EU1'!E14</f>
        <v>0</v>
      </c>
      <c r="F44" s="1503" t="str">
        <f>'EU1'!F14</f>
        <v>013W</v>
      </c>
      <c r="G44" s="1503">
        <f>'EU1'!G14</f>
        <v>0</v>
      </c>
      <c r="H44" s="1256">
        <f>'EU1'!H14</f>
        <v>42847</v>
      </c>
      <c r="I44" s="1256">
        <f>'EU1'!I14</f>
        <v>42848</v>
      </c>
      <c r="J44" s="1493">
        <f>'EU1'!J14</f>
        <v>42848</v>
      </c>
      <c r="K44" s="1485" t="s">
        <v>72</v>
      </c>
      <c r="L44" s="1478">
        <f>J44+15</f>
        <v>42863</v>
      </c>
      <c r="M44" s="1198">
        <f>J44+33</f>
        <v>42881</v>
      </c>
      <c r="N44" s="1198">
        <f>M44+2</f>
        <v>42883</v>
      </c>
      <c r="O44" s="1130">
        <f>N44</f>
        <v>42883</v>
      </c>
    </row>
    <row r="45" spans="1:17" s="103" customFormat="1" ht="19.899999999999999" hidden="1" customHeight="1">
      <c r="A45" s="1229"/>
      <c r="B45" s="1325"/>
      <c r="C45" s="179" t="str">
        <f>VLOOKUP(B44,'ships name'!A:C,3,FALSE)</f>
        <v>达飞乔致福斯特</v>
      </c>
      <c r="D45" s="1325"/>
      <c r="E45" s="1325"/>
      <c r="F45" s="1325"/>
      <c r="G45" s="1325"/>
      <c r="H45" s="1198"/>
      <c r="I45" s="1198"/>
      <c r="J45" s="1494"/>
      <c r="K45" s="1486"/>
      <c r="L45" s="1479"/>
      <c r="M45" s="1184"/>
      <c r="N45" s="1184"/>
      <c r="O45" s="1169"/>
    </row>
    <row r="46" spans="1:17" s="103" customFormat="1" ht="19.899999999999999" hidden="1" customHeight="1">
      <c r="A46" s="1517">
        <f>IA!A27</f>
        <v>34</v>
      </c>
      <c r="B46" s="1251" t="str">
        <f>'EU1'!B16</f>
        <v>CGR</v>
      </c>
      <c r="C46" s="109" t="str">
        <f>VLOOKUP(B46,'ships name'!A:C,2,FALSE)</f>
        <v>CMA CGM CORTE REAL</v>
      </c>
      <c r="D46" s="1251" t="str">
        <f>'EU1'!D16</f>
        <v>013E</v>
      </c>
      <c r="E46" s="1251">
        <f>'EU1'!E16</f>
        <v>0</v>
      </c>
      <c r="F46" s="1251" t="str">
        <f>'EU1'!F16</f>
        <v>014W</v>
      </c>
      <c r="G46" s="1251">
        <f>'EU1'!G16</f>
        <v>0</v>
      </c>
      <c r="H46" s="1125">
        <f>'EU1'!H16</f>
        <v>42854</v>
      </c>
      <c r="I46" s="1125">
        <f>'EU1'!I16</f>
        <v>42855</v>
      </c>
      <c r="J46" s="1495">
        <f>'EU1'!J16</f>
        <v>42855</v>
      </c>
      <c r="K46" s="1484" t="s">
        <v>72</v>
      </c>
      <c r="L46" s="1476">
        <f>J46+15</f>
        <v>42870</v>
      </c>
      <c r="M46" s="1205">
        <f>J46+33</f>
        <v>42888</v>
      </c>
      <c r="N46" s="1205">
        <f>M46+2</f>
        <v>42890</v>
      </c>
      <c r="O46" s="1188">
        <f>N46</f>
        <v>42890</v>
      </c>
    </row>
    <row r="47" spans="1:17" s="103" customFormat="1" ht="19.899999999999999" hidden="1" customHeight="1">
      <c r="A47" s="1229"/>
      <c r="B47" s="1233"/>
      <c r="C47" s="109" t="str">
        <f>VLOOKUP(B46,'ships name'!A:C,3,FALSE)</f>
        <v>达飞卡瑞尔</v>
      </c>
      <c r="D47" s="1233"/>
      <c r="E47" s="1233"/>
      <c r="F47" s="1233"/>
      <c r="G47" s="1233"/>
      <c r="H47" s="1205"/>
      <c r="I47" s="1205"/>
      <c r="J47" s="1492"/>
      <c r="K47" s="1482"/>
      <c r="L47" s="1477"/>
      <c r="M47" s="1190"/>
      <c r="N47" s="1190"/>
      <c r="O47" s="1192"/>
    </row>
    <row r="48" spans="1:17" s="103" customFormat="1" ht="19.899999999999999" hidden="1" customHeight="1">
      <c r="A48" s="1517">
        <f>IA!A29</f>
        <v>35</v>
      </c>
      <c r="B48" s="1251" t="str">
        <f>'EU1'!B18</f>
        <v>BGV</v>
      </c>
      <c r="C48" s="109" t="str">
        <f>VLOOKUP(B48,'ships name'!A:C,2,FALSE)</f>
        <v>CMA CGM BOUGAINVILLE</v>
      </c>
      <c r="D48" s="1251" t="str">
        <f>'EU1'!D18</f>
        <v>016E</v>
      </c>
      <c r="E48" s="1251">
        <f>'EU1'!E18</f>
        <v>0</v>
      </c>
      <c r="F48" s="1251" t="str">
        <f>'EU1'!F18</f>
        <v>017W</v>
      </c>
      <c r="G48" s="1251">
        <f>'EU1'!G18</f>
        <v>0</v>
      </c>
      <c r="H48" s="1125">
        <f>'EU1'!H18</f>
        <v>42861</v>
      </c>
      <c r="I48" s="1125">
        <f>'EU1'!I18</f>
        <v>42862</v>
      </c>
      <c r="J48" s="1495">
        <f>'EU1'!J18</f>
        <v>42862</v>
      </c>
      <c r="K48" s="1487" t="s">
        <v>72</v>
      </c>
      <c r="L48" s="1480">
        <f>J48+15</f>
        <v>42877</v>
      </c>
      <c r="M48" s="1190">
        <f>J48+33</f>
        <v>42895</v>
      </c>
      <c r="N48" s="1190">
        <f>M48+2</f>
        <v>42897</v>
      </c>
      <c r="O48" s="1192">
        <f>N48</f>
        <v>42897</v>
      </c>
    </row>
    <row r="49" spans="1:20" ht="19.899999999999999" hidden="1" customHeight="1">
      <c r="A49" s="1458"/>
      <c r="B49" s="1252"/>
      <c r="C49" s="111" t="str">
        <f>VLOOKUP(B48,'ships name'!A:C,3,FALSE)</f>
        <v>达飞布甘维尔</v>
      </c>
      <c r="D49" s="1252"/>
      <c r="E49" s="1252"/>
      <c r="F49" s="1252"/>
      <c r="G49" s="1252"/>
      <c r="H49" s="1126"/>
      <c r="I49" s="1126"/>
      <c r="J49" s="1496"/>
      <c r="K49" s="1483"/>
      <c r="L49" s="1481"/>
      <c r="M49" s="1475"/>
      <c r="N49" s="1475"/>
      <c r="O49" s="1194"/>
    </row>
    <row r="50" spans="1:20" ht="19.899999999999999" customHeight="1"/>
    <row r="51" spans="1:20" ht="19.899999999999999" customHeight="1"/>
    <row r="52" spans="1:20" s="100" customFormat="1" ht="25.9" customHeight="1">
      <c r="A52" s="1241" t="s">
        <v>312</v>
      </c>
      <c r="B52" s="1242"/>
      <c r="C52" s="1242"/>
      <c r="D52" s="1182" t="s">
        <v>313</v>
      </c>
      <c r="E52" s="1182"/>
      <c r="F52" s="1182"/>
      <c r="G52" s="1182"/>
      <c r="H52" s="1182" t="s">
        <v>314</v>
      </c>
      <c r="I52" s="1182"/>
      <c r="J52" s="1182"/>
      <c r="K52" s="1520" t="s">
        <v>2</v>
      </c>
      <c r="L52" s="1518"/>
      <c r="M52" s="1518"/>
      <c r="N52" s="1518"/>
      <c r="O52" s="1519"/>
      <c r="P52" s="200"/>
      <c r="Q52" s="204"/>
      <c r="R52" s="204"/>
      <c r="S52" s="205"/>
      <c r="T52" s="206"/>
    </row>
    <row r="53" spans="1:20" s="103" customFormat="1" ht="19.899999999999999" customHeight="1">
      <c r="A53" s="1457" t="s">
        <v>3</v>
      </c>
      <c r="B53" s="1218" t="s">
        <v>4</v>
      </c>
      <c r="C53" s="1218" t="s">
        <v>5</v>
      </c>
      <c r="D53" s="1512" t="s">
        <v>6</v>
      </c>
      <c r="E53" s="1513"/>
      <c r="F53" s="1513"/>
      <c r="G53" s="1514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57"/>
      <c r="B54" s="1218"/>
      <c r="C54" s="1218"/>
      <c r="D54" s="1388" t="s">
        <v>121</v>
      </c>
      <c r="E54" s="1388" t="s">
        <v>190</v>
      </c>
      <c r="F54" s="1388" t="s">
        <v>122</v>
      </c>
      <c r="G54" s="1388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58"/>
      <c r="B55" s="1219"/>
      <c r="C55" s="1219"/>
      <c r="D55" s="1219"/>
      <c r="E55" s="1219"/>
      <c r="F55" s="1219"/>
      <c r="G55" s="1219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07">
        <v>14</v>
      </c>
      <c r="B56" s="1218" t="s">
        <v>324</v>
      </c>
      <c r="C56" s="178" t="str">
        <f>VLOOKUP(B56,'ships name'!A:C,2,FALSE)</f>
        <v>CMA CGM ARKANSAS</v>
      </c>
      <c r="D56" s="1499" t="s">
        <v>197</v>
      </c>
      <c r="E56" s="1499" t="s">
        <v>197</v>
      </c>
      <c r="F56" s="1499" t="s">
        <v>325</v>
      </c>
      <c r="G56" s="1499" t="str">
        <f>LEFT(F56,3)&amp;"BXW"</f>
        <v>205BXW</v>
      </c>
      <c r="H56" s="1500">
        <f>I56-1</f>
        <v>42830</v>
      </c>
      <c r="I56" s="1466">
        <f>J56-1</f>
        <v>42831</v>
      </c>
      <c r="J56" s="1466">
        <v>42832</v>
      </c>
      <c r="K56" s="1466"/>
      <c r="L56" s="1466">
        <f>J56+26</f>
        <v>42858</v>
      </c>
      <c r="M56" s="1466">
        <f>J56+28</f>
        <v>42860</v>
      </c>
      <c r="N56" s="1466">
        <f>J56+31</f>
        <v>42863</v>
      </c>
      <c r="O56" s="1462">
        <f>J56+33</f>
        <v>42865</v>
      </c>
      <c r="P56" s="1466">
        <f>J56+21</f>
        <v>42853</v>
      </c>
      <c r="Q56" s="1466">
        <f>J56+23</f>
        <v>42855</v>
      </c>
      <c r="R56" s="1462">
        <f>J56+28</f>
        <v>42860</v>
      </c>
      <c r="S56" s="1463">
        <f>J56+29</f>
        <v>42861</v>
      </c>
    </row>
    <row r="57" spans="1:20" s="103" customFormat="1" ht="19.899999999999999" customHeight="1">
      <c r="A57" s="1508"/>
      <c r="B57" s="1254"/>
      <c r="C57" s="106" t="str">
        <f>VLOOKUP(B56,'ships name'!A:C,3,FALSE)</f>
        <v>达飞阿肯色</v>
      </c>
      <c r="D57" s="1209"/>
      <c r="E57" s="1209"/>
      <c r="F57" s="1209"/>
      <c r="G57" s="1209"/>
      <c r="H57" s="1497"/>
      <c r="I57" s="1190"/>
      <c r="J57" s="1190"/>
      <c r="K57" s="1190"/>
      <c r="L57" s="1190"/>
      <c r="M57" s="1190"/>
      <c r="N57" s="1190"/>
      <c r="O57" s="1192"/>
      <c r="P57" s="1190"/>
      <c r="Q57" s="1190"/>
      <c r="R57" s="1192"/>
      <c r="S57" s="1167"/>
    </row>
    <row r="58" spans="1:20" s="103" customFormat="1" ht="19.899999999999999" customHeight="1">
      <c r="A58" s="1509">
        <v>15</v>
      </c>
      <c r="B58" s="1251" t="s">
        <v>2895</v>
      </c>
      <c r="C58" s="109" t="str">
        <f>VLOOKUP(B58,'ships name'!A:C,2,FALSE)</f>
        <v>VANTAGE</v>
      </c>
      <c r="D58" s="1190" t="s">
        <v>197</v>
      </c>
      <c r="E58" s="1190" t="s">
        <v>197</v>
      </c>
      <c r="F58" s="1190" t="str">
        <f>LEFT(F56,3)+2&amp;"W"</f>
        <v>207W</v>
      </c>
      <c r="G58" s="1190" t="str">
        <f>LEFT(F58,3)&amp;"BXW"</f>
        <v>207BXW</v>
      </c>
      <c r="H58" s="1497">
        <f>H56+7</f>
        <v>42837</v>
      </c>
      <c r="I58" s="1190">
        <f>I56+7</f>
        <v>42838</v>
      </c>
      <c r="J58" s="1190">
        <f>J56+7</f>
        <v>42839</v>
      </c>
      <c r="K58" s="1190"/>
      <c r="L58" s="1466">
        <f>J58+26</f>
        <v>42865</v>
      </c>
      <c r="M58" s="1466">
        <f>J58+28</f>
        <v>42867</v>
      </c>
      <c r="N58" s="1466">
        <f>J58+31</f>
        <v>42870</v>
      </c>
      <c r="O58" s="1462">
        <f>J58+33</f>
        <v>42872</v>
      </c>
      <c r="P58" s="1466">
        <f>J58+21</f>
        <v>42860</v>
      </c>
      <c r="Q58" s="1466">
        <f>J58+23</f>
        <v>42862</v>
      </c>
      <c r="R58" s="1462">
        <f>J58+28</f>
        <v>42867</v>
      </c>
      <c r="S58" s="1463">
        <f>J58+29</f>
        <v>42868</v>
      </c>
    </row>
    <row r="59" spans="1:20" s="103" customFormat="1" ht="19.899999999999999" customHeight="1">
      <c r="A59" s="1508"/>
      <c r="B59" s="1233"/>
      <c r="C59" s="109" t="str">
        <f>VLOOKUP(B58,'ships name'!A:C,3,FALSE)</f>
        <v xml:space="preserve"> </v>
      </c>
      <c r="D59" s="1190"/>
      <c r="E59" s="1190"/>
      <c r="F59" s="1190"/>
      <c r="G59" s="1190"/>
      <c r="H59" s="1497"/>
      <c r="I59" s="1190"/>
      <c r="J59" s="1190"/>
      <c r="K59" s="1190"/>
      <c r="L59" s="1190"/>
      <c r="M59" s="1190"/>
      <c r="N59" s="1190"/>
      <c r="O59" s="1192"/>
      <c r="P59" s="1190"/>
      <c r="Q59" s="1190"/>
      <c r="R59" s="1192"/>
      <c r="S59" s="1167"/>
    </row>
    <row r="60" spans="1:20" s="103" customFormat="1" ht="19.899999999999999" customHeight="1">
      <c r="A60" s="1509">
        <v>16</v>
      </c>
      <c r="B60" s="1251" t="s">
        <v>2372</v>
      </c>
      <c r="C60" s="109" t="str">
        <f>VLOOKUP(B60,'ships name'!A:C,2,FALSE)</f>
        <v>CMA CGM URAL</v>
      </c>
      <c r="D60" s="1190" t="s">
        <v>197</v>
      </c>
      <c r="E60" s="1190" t="s">
        <v>197</v>
      </c>
      <c r="F60" s="1190" t="str">
        <f>LEFT(F58,3)+2&amp;"W"</f>
        <v>209W</v>
      </c>
      <c r="G60" s="1190" t="str">
        <f>LEFT(F60,3)&amp;"BXW"</f>
        <v>209BXW</v>
      </c>
      <c r="H60" s="1497">
        <f>H58+7</f>
        <v>42844</v>
      </c>
      <c r="I60" s="1190">
        <f>I58+7</f>
        <v>42845</v>
      </c>
      <c r="J60" s="1190">
        <f>J58+7</f>
        <v>42846</v>
      </c>
      <c r="K60" s="1190"/>
      <c r="L60" s="1466">
        <f>J60+26</f>
        <v>42872</v>
      </c>
      <c r="M60" s="1466">
        <f>J60+28</f>
        <v>42874</v>
      </c>
      <c r="N60" s="1466">
        <f>J60+31</f>
        <v>42877</v>
      </c>
      <c r="O60" s="1462">
        <f>J60+33</f>
        <v>42879</v>
      </c>
      <c r="P60" s="1466">
        <f>J60+21</f>
        <v>42867</v>
      </c>
      <c r="Q60" s="1466">
        <f>J60+23</f>
        <v>42869</v>
      </c>
      <c r="R60" s="1462">
        <f>J60+28</f>
        <v>42874</v>
      </c>
      <c r="S60" s="1463">
        <f>J60+29</f>
        <v>42875</v>
      </c>
    </row>
    <row r="61" spans="1:20" s="103" customFormat="1" ht="19.899999999999999" customHeight="1">
      <c r="A61" s="1508"/>
      <c r="B61" s="1233"/>
      <c r="C61" s="109" t="str">
        <f>VLOOKUP(B60,'ships name'!A:C,3,FALSE)</f>
        <v>达飞乌拉尔</v>
      </c>
      <c r="D61" s="1190"/>
      <c r="E61" s="1190"/>
      <c r="F61" s="1190"/>
      <c r="G61" s="1190"/>
      <c r="H61" s="1497"/>
      <c r="I61" s="1190"/>
      <c r="J61" s="1190"/>
      <c r="K61" s="1190"/>
      <c r="L61" s="1190"/>
      <c r="M61" s="1190"/>
      <c r="N61" s="1190"/>
      <c r="O61" s="1192"/>
      <c r="P61" s="1190"/>
      <c r="Q61" s="1190"/>
      <c r="R61" s="1192"/>
      <c r="S61" s="1167"/>
    </row>
    <row r="62" spans="1:20" s="103" customFormat="1" ht="19.899999999999999" customHeight="1">
      <c r="A62" s="1509">
        <v>17</v>
      </c>
      <c r="B62" s="1251" t="s">
        <v>2919</v>
      </c>
      <c r="C62" s="109" t="str">
        <f>VLOOKUP(B62,'ships name'!A:C,2,FALSE)</f>
        <v>COSCO DANUBE</v>
      </c>
      <c r="D62" s="1195" t="s">
        <v>197</v>
      </c>
      <c r="E62" s="1195" t="s">
        <v>197</v>
      </c>
      <c r="F62" s="1190" t="str">
        <f>LEFT(F60,3)+2&amp;"W"</f>
        <v>211W</v>
      </c>
      <c r="G62" s="1195" t="str">
        <f>LEFT(F62,3)&amp;"BXW"</f>
        <v>211BXW</v>
      </c>
      <c r="H62" s="1497">
        <f>H60+7</f>
        <v>42851</v>
      </c>
      <c r="I62" s="1190">
        <f>I60+7</f>
        <v>42852</v>
      </c>
      <c r="J62" s="1190">
        <f>J60+7</f>
        <v>42853</v>
      </c>
      <c r="K62" s="1190"/>
      <c r="L62" s="1466">
        <f>J62+26</f>
        <v>42879</v>
      </c>
      <c r="M62" s="1466">
        <f>J62+28</f>
        <v>42881</v>
      </c>
      <c r="N62" s="1466">
        <f>J62+31</f>
        <v>42884</v>
      </c>
      <c r="O62" s="1462">
        <f>J62+33</f>
        <v>42886</v>
      </c>
      <c r="P62" s="1466">
        <f>J62+21</f>
        <v>42874</v>
      </c>
      <c r="Q62" s="1466">
        <f>J62+23</f>
        <v>42876</v>
      </c>
      <c r="R62" s="1462">
        <f>J62+28</f>
        <v>42881</v>
      </c>
      <c r="S62" s="1463">
        <f>J62+29</f>
        <v>42882</v>
      </c>
    </row>
    <row r="63" spans="1:20" s="103" customFormat="1" ht="19.899999999999999" customHeight="1">
      <c r="A63" s="1508"/>
      <c r="B63" s="1233"/>
      <c r="C63" s="109" t="str">
        <f>VLOOKUP(B62,'ships name'!A:C,3,FALSE)</f>
        <v xml:space="preserve">  </v>
      </c>
      <c r="D63" s="1195"/>
      <c r="E63" s="1195"/>
      <c r="F63" s="1190"/>
      <c r="G63" s="1195"/>
      <c r="H63" s="1497"/>
      <c r="I63" s="1190"/>
      <c r="J63" s="1190"/>
      <c r="K63" s="1190"/>
      <c r="L63" s="1190"/>
      <c r="M63" s="1190"/>
      <c r="N63" s="1190"/>
      <c r="O63" s="1192"/>
      <c r="P63" s="1190"/>
      <c r="Q63" s="1190"/>
      <c r="R63" s="1192"/>
      <c r="S63" s="1167"/>
    </row>
    <row r="64" spans="1:20" s="103" customFormat="1" ht="19.899999999999999" customHeight="1">
      <c r="A64" s="1509">
        <v>18</v>
      </c>
      <c r="B64" s="1251"/>
      <c r="C64" s="109" t="e">
        <f>VLOOKUP(B64,'ships name'!A:C,2,FALSE)</f>
        <v>#N/A</v>
      </c>
      <c r="D64" s="1195" t="s">
        <v>197</v>
      </c>
      <c r="E64" s="1195" t="s">
        <v>197</v>
      </c>
      <c r="F64" s="1190" t="str">
        <f>LEFT(F62,3)+2&amp;"W"</f>
        <v>213W</v>
      </c>
      <c r="G64" s="1195" t="str">
        <f>LEFT(F64,3)&amp;"BXW"</f>
        <v>213BXW</v>
      </c>
      <c r="H64" s="1497">
        <f>H62+7</f>
        <v>42858</v>
      </c>
      <c r="I64" s="1190">
        <f>I62+7</f>
        <v>42859</v>
      </c>
      <c r="J64" s="1190">
        <f>J62+7</f>
        <v>42860</v>
      </c>
      <c r="K64" s="1190"/>
      <c r="L64" s="1466">
        <f>J64+26</f>
        <v>42886</v>
      </c>
      <c r="M64" s="1466">
        <f>J64+28</f>
        <v>42888</v>
      </c>
      <c r="N64" s="1466">
        <f>J64+31</f>
        <v>42891</v>
      </c>
      <c r="O64" s="1462">
        <f>J64+33</f>
        <v>42893</v>
      </c>
      <c r="P64" s="1466">
        <f>J64+21</f>
        <v>42881</v>
      </c>
      <c r="Q64" s="1466">
        <f>J64+23</f>
        <v>42883</v>
      </c>
      <c r="R64" s="1462">
        <f>J64+28</f>
        <v>42888</v>
      </c>
      <c r="S64" s="1463">
        <f>J64+29</f>
        <v>42889</v>
      </c>
    </row>
    <row r="65" spans="1:19" ht="19.899999999999999" customHeight="1">
      <c r="A65" s="1508"/>
      <c r="B65" s="1252"/>
      <c r="C65" s="111" t="e">
        <f>VLOOKUP(B64,'ships name'!A:C,3,FALSE)</f>
        <v>#N/A</v>
      </c>
      <c r="D65" s="1191"/>
      <c r="E65" s="1191"/>
      <c r="F65" s="1475"/>
      <c r="G65" s="1195"/>
      <c r="H65" s="1498"/>
      <c r="I65" s="1475"/>
      <c r="J65" s="1475"/>
      <c r="K65" s="1475"/>
      <c r="L65" s="1190"/>
      <c r="M65" s="1190"/>
      <c r="N65" s="1190"/>
      <c r="O65" s="1192"/>
      <c r="P65" s="1190"/>
      <c r="Q65" s="1190"/>
      <c r="R65" s="1192"/>
      <c r="S65" s="1167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3" zoomScale="85" zoomScaleNormal="85" workbookViewId="0">
      <selection activeCell="C41" sqref="C41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36" t="s">
        <v>0</v>
      </c>
      <c r="B2" s="1536"/>
      <c r="C2" s="1536"/>
      <c r="D2" s="1536"/>
      <c r="E2" s="1536"/>
      <c r="F2" s="1536"/>
      <c r="G2" s="1536"/>
      <c r="H2" s="1536"/>
      <c r="I2" s="1536"/>
      <c r="J2" s="1536"/>
      <c r="K2" s="1536"/>
      <c r="L2" s="1536"/>
      <c r="M2" s="1536"/>
      <c r="N2" s="1536"/>
      <c r="O2" s="1536"/>
    </row>
    <row r="3" spans="1:16" ht="28.15" customHeight="1">
      <c r="A3" s="1537"/>
      <c r="B3" s="1537"/>
      <c r="C3" s="1537"/>
      <c r="D3" s="1537"/>
      <c r="E3" s="1537"/>
      <c r="F3" s="1537"/>
      <c r="G3" s="1537"/>
      <c r="H3" s="1537"/>
      <c r="I3" s="1537"/>
      <c r="J3" s="1537"/>
      <c r="K3" s="1537"/>
      <c r="L3" s="1537"/>
      <c r="M3" s="1537"/>
      <c r="N3" s="1537"/>
      <c r="O3" s="1537"/>
    </row>
    <row r="4" spans="1:16" ht="28.15" customHeight="1">
      <c r="A4" s="1536" t="str">
        <f>TPWC!A4</f>
        <v>2019年06月船期表</v>
      </c>
      <c r="B4" s="1536"/>
      <c r="C4" s="1536"/>
      <c r="D4" s="1536"/>
      <c r="E4" s="1536"/>
      <c r="F4" s="1536"/>
      <c r="G4" s="1536"/>
      <c r="H4" s="1536"/>
      <c r="I4" s="1536"/>
      <c r="J4" s="1536"/>
      <c r="K4" s="1536"/>
      <c r="L4" s="1536"/>
      <c r="M4" s="1536"/>
      <c r="N4" s="1536"/>
      <c r="O4" s="1536"/>
    </row>
    <row r="5" spans="1:16" ht="28.15" customHeight="1" thickBot="1">
      <c r="A5" s="779"/>
      <c r="B5" s="1022"/>
      <c r="C5" s="1022"/>
      <c r="D5" s="1022"/>
      <c r="E5" s="1022"/>
      <c r="F5" s="1022"/>
      <c r="G5" s="1022"/>
      <c r="H5" s="1022"/>
      <c r="I5" s="1022"/>
      <c r="J5" s="1022"/>
      <c r="K5" s="1022"/>
      <c r="L5" s="1022"/>
      <c r="M5" s="1022"/>
      <c r="N5" s="1022"/>
    </row>
    <row r="6" spans="1:16" s="421" customFormat="1" ht="25.9" customHeight="1">
      <c r="A6" s="1238" t="s">
        <v>274</v>
      </c>
      <c r="B6" s="1239"/>
      <c r="C6" s="1239"/>
      <c r="D6" s="1016"/>
      <c r="E6" s="1525" t="s">
        <v>4255</v>
      </c>
      <c r="F6" s="1525"/>
      <c r="G6" s="1525"/>
      <c r="H6" s="1525" t="s">
        <v>3194</v>
      </c>
      <c r="I6" s="1525"/>
      <c r="J6" s="1526"/>
      <c r="K6" s="1538" t="s">
        <v>2</v>
      </c>
      <c r="L6" s="1538"/>
      <c r="M6" s="1538"/>
      <c r="N6" s="1538"/>
      <c r="O6" s="1538"/>
      <c r="P6" s="1187"/>
    </row>
    <row r="7" spans="1:16" s="273" customFormat="1" ht="19.899999999999999" customHeight="1">
      <c r="A7" s="1226" t="s">
        <v>3</v>
      </c>
      <c r="B7" s="1209" t="s">
        <v>4</v>
      </c>
      <c r="C7" s="1209" t="s">
        <v>5</v>
      </c>
      <c r="D7" s="1254" t="s">
        <v>4291</v>
      </c>
      <c r="E7" s="1512" t="s">
        <v>6</v>
      </c>
      <c r="F7" s="1513"/>
      <c r="G7" s="1514"/>
      <c r="H7" s="1012" t="s">
        <v>7</v>
      </c>
      <c r="I7" s="1012" t="s">
        <v>8</v>
      </c>
      <c r="J7" s="353" t="s">
        <v>9</v>
      </c>
      <c r="K7" s="1024" t="s">
        <v>103</v>
      </c>
      <c r="L7" s="1012" t="s">
        <v>3195</v>
      </c>
      <c r="M7" s="1012" t="s">
        <v>3196</v>
      </c>
      <c r="N7" s="1012" t="s">
        <v>275</v>
      </c>
      <c r="O7" s="1012" t="s">
        <v>276</v>
      </c>
      <c r="P7" s="353" t="s">
        <v>287</v>
      </c>
    </row>
    <row r="8" spans="1:16" s="273" customFormat="1" ht="29.25" customHeight="1">
      <c r="A8" s="1226"/>
      <c r="B8" s="1209"/>
      <c r="C8" s="1209"/>
      <c r="D8" s="1430"/>
      <c r="E8" s="1388" t="s">
        <v>13</v>
      </c>
      <c r="F8" s="1453" t="s">
        <v>14</v>
      </c>
      <c r="G8" s="1454"/>
      <c r="H8" s="1012" t="s">
        <v>15</v>
      </c>
      <c r="I8" s="1012" t="s">
        <v>16</v>
      </c>
      <c r="J8" s="353" t="s">
        <v>17</v>
      </c>
      <c r="K8" s="1036" t="s">
        <v>89</v>
      </c>
      <c r="L8" s="1030" t="s">
        <v>3197</v>
      </c>
      <c r="M8" s="1030" t="s">
        <v>282</v>
      </c>
      <c r="N8" s="1012" t="s">
        <v>3198</v>
      </c>
      <c r="O8" s="1012" t="s">
        <v>3199</v>
      </c>
      <c r="P8" s="353" t="s">
        <v>3200</v>
      </c>
    </row>
    <row r="9" spans="1:16" s="273" customFormat="1" ht="19.899999999999999" customHeight="1" thickBot="1">
      <c r="A9" s="1227"/>
      <c r="B9" s="1210"/>
      <c r="C9" s="1210"/>
      <c r="D9" s="1431"/>
      <c r="E9" s="1219"/>
      <c r="F9" s="1037" t="s">
        <v>4292</v>
      </c>
      <c r="G9" s="1023" t="s">
        <v>4293</v>
      </c>
      <c r="H9" s="1014" t="s">
        <v>47</v>
      </c>
      <c r="I9" s="1014" t="s">
        <v>126</v>
      </c>
      <c r="J9" s="1020" t="s">
        <v>127</v>
      </c>
      <c r="K9" s="336" t="s">
        <v>160</v>
      </c>
      <c r="L9" s="1014" t="s">
        <v>202</v>
      </c>
      <c r="M9" s="1014" t="s">
        <v>176</v>
      </c>
      <c r="N9" s="1014" t="s">
        <v>55</v>
      </c>
      <c r="O9" s="1014" t="s">
        <v>173</v>
      </c>
      <c r="P9" s="149" t="s">
        <v>68</v>
      </c>
    </row>
    <row r="10" spans="1:16" s="273" customFormat="1" ht="19.899999999999999" customHeight="1">
      <c r="A10" s="1038">
        <v>23</v>
      </c>
      <c r="B10" s="1015" t="s">
        <v>4830</v>
      </c>
      <c r="C10" s="1018" t="str">
        <f>VLOOKUP(LEFT(B10,3),'ships name'!A:C,2,FALSE)</f>
        <v>CMA CGM TITAN</v>
      </c>
      <c r="D10" s="1010" t="str">
        <f>VLOOKUP(LEFT(B10,3),'ships name'!A:C,3,FALSE)</f>
        <v xml:space="preserve"> </v>
      </c>
      <c r="E10" s="1003" t="str">
        <f t="shared" ref="E10:E11" si="0">F10</f>
        <v>0ME3NW</v>
      </c>
      <c r="F10" s="1003" t="str">
        <f t="shared" ref="F10:F11" si="1">LEFT(G10,6)</f>
        <v>0ME3NW</v>
      </c>
      <c r="G10" s="1003" t="s">
        <v>4835</v>
      </c>
      <c r="H10" s="1028">
        <f t="shared" ref="H10:I14" si="2">I10-1</f>
        <v>43619</v>
      </c>
      <c r="I10" s="1028">
        <f t="shared" si="2"/>
        <v>43620</v>
      </c>
      <c r="J10" s="1028">
        <v>43621</v>
      </c>
      <c r="K10" s="1039">
        <f>J10+8</f>
        <v>43629</v>
      </c>
      <c r="L10" s="1028">
        <f>J10+24</f>
        <v>43645</v>
      </c>
      <c r="M10" s="1028">
        <f>J10+27</f>
        <v>43648</v>
      </c>
      <c r="N10" s="1028">
        <f>J10+29</f>
        <v>43650</v>
      </c>
      <c r="O10" s="1028">
        <f>J10+31</f>
        <v>43652</v>
      </c>
      <c r="P10" s="1029">
        <f>J10+33</f>
        <v>43654</v>
      </c>
    </row>
    <row r="11" spans="1:16" s="273" customFormat="1" ht="19.899999999999999" customHeight="1">
      <c r="A11" s="1040">
        <f>A10+1</f>
        <v>24</v>
      </c>
      <c r="B11" s="1003" t="s">
        <v>4831</v>
      </c>
      <c r="C11" s="1003" t="str">
        <f>VLOOKUP(LEFT(B11,3),'ships name'!A:C,2,FALSE)</f>
        <v>OOCL FRANCE</v>
      </c>
      <c r="D11" s="1011" t="str">
        <f>VLOOKUP(LEFT(B11,3),'ships name'!A:C,3,FALSE)</f>
        <v>东方法国</v>
      </c>
      <c r="E11" s="1003" t="str">
        <f t="shared" si="0"/>
        <v>0ME3PW</v>
      </c>
      <c r="F11" s="1003" t="str">
        <f t="shared" si="1"/>
        <v>0ME3PW</v>
      </c>
      <c r="G11" s="1003" t="s">
        <v>4836</v>
      </c>
      <c r="H11" s="1004">
        <f t="shared" si="2"/>
        <v>43626</v>
      </c>
      <c r="I11" s="1004">
        <f t="shared" si="2"/>
        <v>43627</v>
      </c>
      <c r="J11" s="1004">
        <f>J10+7</f>
        <v>43628</v>
      </c>
      <c r="K11" s="520">
        <f>J11+8</f>
        <v>43636</v>
      </c>
      <c r="L11" s="1004">
        <f>J11+24</f>
        <v>43652</v>
      </c>
      <c r="M11" s="1004">
        <f>J11+27</f>
        <v>43655</v>
      </c>
      <c r="N11" s="1004">
        <f>J11+29</f>
        <v>43657</v>
      </c>
      <c r="O11" s="1004">
        <f>J11+31</f>
        <v>43659</v>
      </c>
      <c r="P11" s="1007">
        <f>J11+33</f>
        <v>43661</v>
      </c>
    </row>
    <row r="12" spans="1:16" s="273" customFormat="1" ht="19.899999999999999" customHeight="1">
      <c r="A12" s="1040">
        <f>A11+1</f>
        <v>25</v>
      </c>
      <c r="B12" s="1003" t="s">
        <v>4832</v>
      </c>
      <c r="C12" s="1003" t="str">
        <f>VLOOKUP(LEFT(B12,3),'ships name'!A:C,2,FALSE)</f>
        <v>CMA CGM LEO</v>
      </c>
      <c r="D12" s="1011">
        <f>VLOOKUP(LEFT(B12,3),'ships name'!A:C,3,FALSE)</f>
        <v>0</v>
      </c>
      <c r="E12" s="1003" t="str">
        <f t="shared" ref="E12:E14" si="3">F12</f>
        <v>0ME3RW</v>
      </c>
      <c r="F12" s="1003" t="str">
        <f t="shared" ref="F12:F14" si="4">LEFT(G12,6)</f>
        <v>0ME3RW</v>
      </c>
      <c r="G12" s="1003" t="s">
        <v>4837</v>
      </c>
      <c r="H12" s="1004">
        <f t="shared" si="2"/>
        <v>43633</v>
      </c>
      <c r="I12" s="1004">
        <f t="shared" si="2"/>
        <v>43634</v>
      </c>
      <c r="J12" s="1004">
        <f>J11+7</f>
        <v>43635</v>
      </c>
      <c r="K12" s="520">
        <f>J12+8</f>
        <v>43643</v>
      </c>
      <c r="L12" s="1004">
        <f>J12+24</f>
        <v>43659</v>
      </c>
      <c r="M12" s="1004">
        <f>J12+27</f>
        <v>43662</v>
      </c>
      <c r="N12" s="1004">
        <f>J12+29</f>
        <v>43664</v>
      </c>
      <c r="O12" s="1004">
        <f>J12+31</f>
        <v>43666</v>
      </c>
      <c r="P12" s="1007">
        <f>J12+33</f>
        <v>43668</v>
      </c>
    </row>
    <row r="13" spans="1:16" s="273" customFormat="1" ht="19.899999999999999" customHeight="1">
      <c r="A13" s="1041">
        <f>A12+1</f>
        <v>26</v>
      </c>
      <c r="B13" s="1003" t="s">
        <v>4833</v>
      </c>
      <c r="C13" s="1003" t="str">
        <f>VLOOKUP(LEFT(B13,3),'ships name'!A:C,2,FALSE)</f>
        <v>APL GWANGYANG</v>
      </c>
      <c r="D13" s="1011" t="str">
        <f>VLOOKUP(LEFT(B13,3),'ships name'!A:C,3,FALSE)</f>
        <v>达飞美总光阳</v>
      </c>
      <c r="E13" s="1003" t="str">
        <f t="shared" si="3"/>
        <v>0ME3TW</v>
      </c>
      <c r="F13" s="1055" t="str">
        <f t="shared" si="4"/>
        <v>0ME3TW</v>
      </c>
      <c r="G13" s="1003" t="s">
        <v>4838</v>
      </c>
      <c r="H13" s="1004">
        <f t="shared" si="2"/>
        <v>43640</v>
      </c>
      <c r="I13" s="1004">
        <f t="shared" si="2"/>
        <v>43641</v>
      </c>
      <c r="J13" s="1004">
        <f>J12+7</f>
        <v>43642</v>
      </c>
      <c r="K13" s="520">
        <f>J13+8</f>
        <v>43650</v>
      </c>
      <c r="L13" s="1004">
        <f>J13+24</f>
        <v>43666</v>
      </c>
      <c r="M13" s="1004">
        <f>J13+27</f>
        <v>43669</v>
      </c>
      <c r="N13" s="1004">
        <f>J13+29</f>
        <v>43671</v>
      </c>
      <c r="O13" s="1004">
        <f>J13+31</f>
        <v>43673</v>
      </c>
      <c r="P13" s="1007">
        <f>J13+33</f>
        <v>43675</v>
      </c>
    </row>
    <row r="14" spans="1:16" s="273" customFormat="1" ht="19.899999999999999" customHeight="1">
      <c r="A14" s="1041">
        <f>A13+1</f>
        <v>27</v>
      </c>
      <c r="B14" s="1003" t="s">
        <v>4834</v>
      </c>
      <c r="C14" s="1003" t="str">
        <f>VLOOKUP(LEFT(B14,3),'ships name'!A:C,2,FALSE)</f>
        <v>CMA CGM CASSIOPEIA</v>
      </c>
      <c r="D14" s="1011" t="str">
        <f>VLOOKUP(LEFT(B14,3),'ships name'!A:C,3,FALSE)</f>
        <v xml:space="preserve"> </v>
      </c>
      <c r="E14" s="1011" t="str">
        <f t="shared" si="3"/>
        <v>0ME3VW</v>
      </c>
      <c r="F14" s="1011" t="str">
        <f t="shared" si="4"/>
        <v>0ME3VW</v>
      </c>
      <c r="G14" s="1011" t="s">
        <v>4839</v>
      </c>
      <c r="H14" s="1004">
        <f t="shared" si="2"/>
        <v>43647</v>
      </c>
      <c r="I14" s="1004">
        <f t="shared" si="2"/>
        <v>43648</v>
      </c>
      <c r="J14" s="1004">
        <f>J13+7</f>
        <v>43649</v>
      </c>
      <c r="K14" s="520">
        <f>J14+8</f>
        <v>43657</v>
      </c>
      <c r="L14" s="1004">
        <f>J14+24</f>
        <v>43673</v>
      </c>
      <c r="M14" s="1004">
        <f>J14+27</f>
        <v>43676</v>
      </c>
      <c r="N14" s="1004">
        <f>J14+29</f>
        <v>43678</v>
      </c>
      <c r="O14" s="1004">
        <f>J14+31</f>
        <v>43680</v>
      </c>
      <c r="P14" s="1007">
        <f>J14+33</f>
        <v>43682</v>
      </c>
    </row>
    <row r="15" spans="1:16" s="273" customFormat="1" ht="19.899999999999999" customHeight="1" thickBot="1">
      <c r="A15" s="1042"/>
      <c r="B15" s="120"/>
      <c r="C15" s="120"/>
      <c r="D15" s="120"/>
      <c r="E15" s="120"/>
      <c r="F15" s="120"/>
      <c r="G15" s="120"/>
      <c r="H15" s="120"/>
      <c r="I15" s="120"/>
      <c r="J15" s="1022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38" t="s">
        <v>286</v>
      </c>
      <c r="B16" s="1239"/>
      <c r="C16" s="1239"/>
      <c r="D16" s="1016"/>
      <c r="E16" s="1525" t="s">
        <v>3202</v>
      </c>
      <c r="F16" s="1525"/>
      <c r="G16" s="1525"/>
      <c r="H16" s="1525" t="s">
        <v>3194</v>
      </c>
      <c r="I16" s="1525"/>
      <c r="J16" s="1526"/>
      <c r="K16" s="1533" t="s">
        <v>2</v>
      </c>
      <c r="L16" s="1534"/>
      <c r="M16" s="1534"/>
      <c r="N16" s="1534"/>
      <c r="O16" s="1534"/>
      <c r="P16" s="1535"/>
    </row>
    <row r="17" spans="1:19" s="273" customFormat="1" ht="19.899999999999999" customHeight="1">
      <c r="A17" s="1228" t="s">
        <v>3</v>
      </c>
      <c r="B17" s="1499" t="s">
        <v>4</v>
      </c>
      <c r="C17" s="1499" t="s">
        <v>5</v>
      </c>
      <c r="D17" s="1254" t="s">
        <v>4291</v>
      </c>
      <c r="E17" s="1512" t="s">
        <v>6</v>
      </c>
      <c r="F17" s="1513"/>
      <c r="G17" s="1514"/>
      <c r="H17" s="1027" t="s">
        <v>7</v>
      </c>
      <c r="I17" s="1027" t="s">
        <v>8</v>
      </c>
      <c r="J17" s="1043" t="s">
        <v>9</v>
      </c>
      <c r="K17" s="1044" t="s">
        <v>103</v>
      </c>
      <c r="L17" s="1027" t="s">
        <v>3203</v>
      </c>
      <c r="M17" s="1027" t="s">
        <v>3204</v>
      </c>
      <c r="N17" s="1027" t="s">
        <v>287</v>
      </c>
      <c r="O17" s="1027" t="s">
        <v>276</v>
      </c>
      <c r="P17" s="1043" t="s">
        <v>288</v>
      </c>
    </row>
    <row r="18" spans="1:19" s="273" customFormat="1" ht="29.25" customHeight="1">
      <c r="A18" s="1226"/>
      <c r="B18" s="1209"/>
      <c r="C18" s="1209"/>
      <c r="D18" s="1430"/>
      <c r="E18" s="1388" t="s">
        <v>13</v>
      </c>
      <c r="F18" s="1453" t="s">
        <v>14</v>
      </c>
      <c r="G18" s="1454"/>
      <c r="H18" s="1012" t="s">
        <v>15</v>
      </c>
      <c r="I18" s="1012" t="s">
        <v>16</v>
      </c>
      <c r="J18" s="353" t="s">
        <v>17</v>
      </c>
      <c r="K18" s="1036" t="s">
        <v>89</v>
      </c>
      <c r="L18" s="1030" t="s">
        <v>3205</v>
      </c>
      <c r="M18" s="1012" t="s">
        <v>3206</v>
      </c>
      <c r="N18" s="1012" t="s">
        <v>3200</v>
      </c>
      <c r="O18" s="1012" t="s">
        <v>3199</v>
      </c>
      <c r="P18" s="353" t="s">
        <v>282</v>
      </c>
    </row>
    <row r="19" spans="1:19" s="273" customFormat="1" ht="19.899999999999999" customHeight="1" thickBot="1">
      <c r="A19" s="1227"/>
      <c r="B19" s="1210"/>
      <c r="C19" s="1210"/>
      <c r="D19" s="1431"/>
      <c r="E19" s="1219"/>
      <c r="F19" s="1037" t="s">
        <v>4292</v>
      </c>
      <c r="G19" s="1023" t="s">
        <v>4293</v>
      </c>
      <c r="H19" s="1014" t="s">
        <v>3466</v>
      </c>
      <c r="I19" s="1014" t="s">
        <v>34</v>
      </c>
      <c r="J19" s="149" t="s">
        <v>35</v>
      </c>
      <c r="K19" s="336" t="s">
        <v>149</v>
      </c>
      <c r="L19" s="1017" t="s">
        <v>202</v>
      </c>
      <c r="M19" s="1017" t="s">
        <v>176</v>
      </c>
      <c r="N19" s="1017" t="s">
        <v>55</v>
      </c>
      <c r="O19" s="1017" t="s">
        <v>56</v>
      </c>
      <c r="P19" s="1020" t="s">
        <v>57</v>
      </c>
    </row>
    <row r="20" spans="1:19" s="273" customFormat="1" ht="19.899999999999999" customHeight="1">
      <c r="A20" s="1038">
        <v>22</v>
      </c>
      <c r="B20" s="1018" t="s">
        <v>4544</v>
      </c>
      <c r="C20" s="1018" t="str">
        <f>VLOOKUP(LEFT(B20,3),'ships name'!A:C,2,FALSE)</f>
        <v>CSCL STAR</v>
      </c>
      <c r="D20" s="1010" t="str">
        <f>VLOOKUP(LEFT(B20,3),'ships name'!A:C,3,FALSE)</f>
        <v>中海之星</v>
      </c>
      <c r="E20" s="1018" t="str">
        <f>0&amp;LEFT(F20,3)-1&amp;"E"</f>
        <v>059E</v>
      </c>
      <c r="F20" s="1018" t="str">
        <f>RIGHT(B20,3)&amp;"W"</f>
        <v>060W</v>
      </c>
      <c r="G20" s="1018" t="s">
        <v>4545</v>
      </c>
      <c r="H20" s="1028">
        <f>I20-1</f>
        <v>43615</v>
      </c>
      <c r="I20" s="1028">
        <f>J20-1</f>
        <v>43616</v>
      </c>
      <c r="J20" s="1028">
        <v>43617</v>
      </c>
      <c r="K20" s="1028">
        <f>J20+9</f>
        <v>43626</v>
      </c>
      <c r="L20" s="1028">
        <f>J20+24</f>
        <v>43641</v>
      </c>
      <c r="M20" s="1028">
        <f>J20+27</f>
        <v>43644</v>
      </c>
      <c r="N20" s="1028">
        <f>J20+29</f>
        <v>43646</v>
      </c>
      <c r="O20" s="1028">
        <f>J20+32</f>
        <v>43649</v>
      </c>
      <c r="P20" s="1029">
        <f>J20+34</f>
        <v>43651</v>
      </c>
    </row>
    <row r="21" spans="1:19" s="273" customFormat="1" ht="19.899999999999999" customHeight="1">
      <c r="A21" s="1040">
        <f>A20+1</f>
        <v>23</v>
      </c>
      <c r="B21" s="1011" t="s">
        <v>4840</v>
      </c>
      <c r="C21" s="1003" t="str">
        <f>VLOOKUP(LEFT(B21,3),'ships name'!A:C,2,FALSE)</f>
        <v>COSCO PACIFIC</v>
      </c>
      <c r="D21" s="1011" t="str">
        <f>VLOOKUP(LEFT(B21,3),'ships name'!A:C,3,FALSE)</f>
        <v>中远太平洋</v>
      </c>
      <c r="E21" s="1003" t="str">
        <f t="shared" ref="E21" si="5">0&amp;LEFT(F21,3)-1&amp;"E"</f>
        <v>0224E</v>
      </c>
      <c r="F21" s="1003" t="str">
        <f>RIGHT(B21,3)&amp;"W"</f>
        <v>225W</v>
      </c>
      <c r="G21" s="1003" t="s">
        <v>4844</v>
      </c>
      <c r="H21" s="1004">
        <f t="shared" ref="H21:J24" si="6">H20+7</f>
        <v>43622</v>
      </c>
      <c r="I21" s="1004">
        <f t="shared" si="6"/>
        <v>43623</v>
      </c>
      <c r="J21" s="1004">
        <f t="shared" si="6"/>
        <v>43624</v>
      </c>
      <c r="K21" s="1004">
        <f>J21+9</f>
        <v>43633</v>
      </c>
      <c r="L21" s="1004">
        <f>J21+24</f>
        <v>43648</v>
      </c>
      <c r="M21" s="1004">
        <f>J21+27</f>
        <v>43651</v>
      </c>
      <c r="N21" s="1004">
        <f>J21+29</f>
        <v>43653</v>
      </c>
      <c r="O21" s="1004">
        <f>J21+32</f>
        <v>43656</v>
      </c>
      <c r="P21" s="1007">
        <f>J21+34</f>
        <v>43658</v>
      </c>
    </row>
    <row r="22" spans="1:19" s="273" customFormat="1" ht="19.899999999999999" customHeight="1">
      <c r="A22" s="1040">
        <f>A21+1</f>
        <v>24</v>
      </c>
      <c r="B22" s="1011" t="s">
        <v>4841</v>
      </c>
      <c r="C22" s="1003" t="str">
        <f>VLOOKUP(LEFT(B22,3),'ships name'!A:C,2,FALSE)</f>
        <v>CSCL URANUS</v>
      </c>
      <c r="D22" s="1011" t="str">
        <f>VLOOKUP(LEFT(B22,3),'ships name'!A:C,3,FALSE)</f>
        <v>中海天王星</v>
      </c>
      <c r="E22" s="1003" t="str">
        <f t="shared" ref="E22" si="7">0&amp;LEFT(F22,3)-1&amp;"E"</f>
        <v>0100E</v>
      </c>
      <c r="F22" s="1003" t="str">
        <f>RIGHT(B22,3)&amp;"W"</f>
        <v>101W</v>
      </c>
      <c r="G22" s="1003" t="s">
        <v>4845</v>
      </c>
      <c r="H22" s="1004">
        <f t="shared" si="6"/>
        <v>43629</v>
      </c>
      <c r="I22" s="1004">
        <f t="shared" si="6"/>
        <v>43630</v>
      </c>
      <c r="J22" s="1004">
        <f t="shared" si="6"/>
        <v>43631</v>
      </c>
      <c r="K22" s="1004">
        <f>J22+9</f>
        <v>43640</v>
      </c>
      <c r="L22" s="1004">
        <f>J22+24</f>
        <v>43655</v>
      </c>
      <c r="M22" s="1004">
        <f>J22+27</f>
        <v>43658</v>
      </c>
      <c r="N22" s="1004">
        <f>J22+29</f>
        <v>43660</v>
      </c>
      <c r="O22" s="1004">
        <f>J22+32</f>
        <v>43663</v>
      </c>
      <c r="P22" s="1007">
        <f>J22+34</f>
        <v>43665</v>
      </c>
    </row>
    <row r="23" spans="1:19" s="273" customFormat="1" ht="19.899999999999999" customHeight="1">
      <c r="A23" s="1040">
        <f>A22+1</f>
        <v>25</v>
      </c>
      <c r="B23" s="1011" t="s">
        <v>4842</v>
      </c>
      <c r="C23" s="1003" t="str">
        <f>VLOOKUP(LEFT(B23,3),'ships name'!A:C,2,FALSE)</f>
        <v>THALASSA PATRIS</v>
      </c>
      <c r="D23" s="1011" t="str">
        <f>VLOOKUP(LEFT(B23,3),'ships name'!A:C,3,FALSE)</f>
        <v xml:space="preserve"> </v>
      </c>
      <c r="E23" s="1003" t="str">
        <f t="shared" ref="E23" si="8">0&amp;LEFT(F23,3)-1&amp;"E"</f>
        <v>0107E</v>
      </c>
      <c r="F23" s="1003" t="str">
        <f>RIGHT(B23,3)&amp;"W"</f>
        <v>108W</v>
      </c>
      <c r="G23" s="1003" t="s">
        <v>4846</v>
      </c>
      <c r="H23" s="1004">
        <f t="shared" si="6"/>
        <v>43636</v>
      </c>
      <c r="I23" s="1004">
        <f t="shared" si="6"/>
        <v>43637</v>
      </c>
      <c r="J23" s="1004">
        <f t="shared" si="6"/>
        <v>43638</v>
      </c>
      <c r="K23" s="1004">
        <f>J23+9</f>
        <v>43647</v>
      </c>
      <c r="L23" s="1004">
        <f>J23+24</f>
        <v>43662</v>
      </c>
      <c r="M23" s="1004">
        <f>J23+27</f>
        <v>43665</v>
      </c>
      <c r="N23" s="1004">
        <f>J23+29</f>
        <v>43667</v>
      </c>
      <c r="O23" s="1004">
        <f>J23+32</f>
        <v>43670</v>
      </c>
      <c r="P23" s="1007">
        <f>J23+34</f>
        <v>43672</v>
      </c>
    </row>
    <row r="24" spans="1:19" s="273" customFormat="1" ht="19.899999999999999" customHeight="1">
      <c r="A24" s="1040">
        <f>A23+1</f>
        <v>26</v>
      </c>
      <c r="B24" s="1011" t="s">
        <v>4843</v>
      </c>
      <c r="C24" s="1003" t="str">
        <f>VLOOKUP(LEFT(B24,3),'ships name'!A:C,2,FALSE)</f>
        <v xml:space="preserve">COSCO NETHERLANDS </v>
      </c>
      <c r="D24" s="1011" t="str">
        <f>VLOOKUP(LEFT(B24,3),'ships name'!A:C,3,FALSE)</f>
        <v>中远荷兰</v>
      </c>
      <c r="E24" s="1003" t="str">
        <f t="shared" ref="E24" si="9">0&amp;LEFT(F24,3)-1&amp;"E"</f>
        <v>071E</v>
      </c>
      <c r="F24" s="1003" t="str">
        <f>RIGHT(B24,3)&amp;"W"</f>
        <v>072W</v>
      </c>
      <c r="G24" s="1003" t="s">
        <v>4847</v>
      </c>
      <c r="H24" s="1004">
        <f t="shared" si="6"/>
        <v>43643</v>
      </c>
      <c r="I24" s="1004">
        <f t="shared" si="6"/>
        <v>43644</v>
      </c>
      <c r="J24" s="1004">
        <f t="shared" si="6"/>
        <v>43645</v>
      </c>
      <c r="K24" s="1004">
        <f>J24+9</f>
        <v>43654</v>
      </c>
      <c r="L24" s="1004">
        <f>J24+24</f>
        <v>43669</v>
      </c>
      <c r="M24" s="1004">
        <f>J24+27</f>
        <v>43672</v>
      </c>
      <c r="N24" s="1004">
        <f>J24+29</f>
        <v>43674</v>
      </c>
      <c r="O24" s="1004">
        <f>J24+32</f>
        <v>43677</v>
      </c>
      <c r="P24" s="1007">
        <f>J24+34</f>
        <v>43679</v>
      </c>
    </row>
    <row r="25" spans="1:19" ht="19.899999999999999" customHeight="1" thickBot="1"/>
    <row r="26" spans="1:19" s="421" customFormat="1" ht="25.9" customHeight="1">
      <c r="A26" s="1238" t="s">
        <v>312</v>
      </c>
      <c r="B26" s="1239"/>
      <c r="C26" s="1239"/>
      <c r="D26" s="1016"/>
      <c r="E26" s="1525" t="s">
        <v>3202</v>
      </c>
      <c r="F26" s="1525"/>
      <c r="G26" s="1525"/>
      <c r="H26" s="1525" t="s">
        <v>152</v>
      </c>
      <c r="I26" s="1525"/>
      <c r="J26" s="1526"/>
      <c r="K26" s="1530" t="s">
        <v>2</v>
      </c>
      <c r="L26" s="1531"/>
      <c r="M26" s="1531"/>
      <c r="N26" s="1531"/>
      <c r="O26" s="1531"/>
      <c r="P26" s="1531"/>
      <c r="Q26" s="1531"/>
      <c r="R26" s="1532"/>
      <c r="S26" s="1045"/>
    </row>
    <row r="27" spans="1:19" s="273" customFormat="1" ht="19.899999999999999" customHeight="1">
      <c r="A27" s="1226" t="s">
        <v>3</v>
      </c>
      <c r="B27" s="1209" t="s">
        <v>4</v>
      </c>
      <c r="C27" s="1209" t="s">
        <v>5</v>
      </c>
      <c r="D27" s="1254" t="s">
        <v>4291</v>
      </c>
      <c r="E27" s="1512" t="s">
        <v>6</v>
      </c>
      <c r="F27" s="1513"/>
      <c r="G27" s="1514"/>
      <c r="H27" s="1003" t="s">
        <v>7</v>
      </c>
      <c r="I27" s="1003" t="s">
        <v>8</v>
      </c>
      <c r="J27" s="1008" t="s">
        <v>9</v>
      </c>
      <c r="K27" s="331" t="s">
        <v>103</v>
      </c>
      <c r="L27" s="1003" t="s">
        <v>3209</v>
      </c>
      <c r="M27" s="1003" t="s">
        <v>3210</v>
      </c>
      <c r="N27" s="1003" t="s">
        <v>3203</v>
      </c>
      <c r="O27" s="1003" t="s">
        <v>315</v>
      </c>
      <c r="P27" s="1003" t="s">
        <v>304</v>
      </c>
      <c r="Q27" s="1003" t="s">
        <v>305</v>
      </c>
      <c r="R27" s="1008" t="s">
        <v>306</v>
      </c>
    </row>
    <row r="28" spans="1:19" s="273" customFormat="1" ht="27.75" customHeight="1">
      <c r="A28" s="1226"/>
      <c r="B28" s="1209"/>
      <c r="C28" s="1209"/>
      <c r="D28" s="1430"/>
      <c r="E28" s="1388" t="s">
        <v>13</v>
      </c>
      <c r="F28" s="1453" t="s">
        <v>14</v>
      </c>
      <c r="G28" s="1454"/>
      <c r="H28" s="1003" t="s">
        <v>15</v>
      </c>
      <c r="I28" s="1003" t="s">
        <v>16</v>
      </c>
      <c r="J28" s="1008" t="s">
        <v>17</v>
      </c>
      <c r="K28" s="1046" t="s">
        <v>89</v>
      </c>
      <c r="L28" s="1003" t="s">
        <v>3211</v>
      </c>
      <c r="M28" s="1003" t="s">
        <v>320</v>
      </c>
      <c r="N28" s="1003" t="s">
        <v>3205</v>
      </c>
      <c r="O28" s="1003" t="s">
        <v>3212</v>
      </c>
      <c r="P28" s="1003" t="s">
        <v>322</v>
      </c>
      <c r="Q28" s="1003" t="s">
        <v>317</v>
      </c>
      <c r="R28" s="1008" t="s">
        <v>318</v>
      </c>
    </row>
    <row r="29" spans="1:19" s="273" customFormat="1" ht="19.899999999999999" customHeight="1" thickBot="1">
      <c r="A29" s="1227"/>
      <c r="B29" s="1210"/>
      <c r="C29" s="1210"/>
      <c r="D29" s="1431"/>
      <c r="E29" s="1219"/>
      <c r="F29" s="1037" t="s">
        <v>4292</v>
      </c>
      <c r="G29" s="1023" t="s">
        <v>4293</v>
      </c>
      <c r="H29" s="1017" t="s">
        <v>127</v>
      </c>
      <c r="I29" s="1017" t="s">
        <v>23</v>
      </c>
      <c r="J29" s="1020" t="s">
        <v>323</v>
      </c>
      <c r="K29" s="1021" t="s">
        <v>160</v>
      </c>
      <c r="L29" s="1017" t="s">
        <v>25</v>
      </c>
      <c r="M29" s="1017" t="s">
        <v>202</v>
      </c>
      <c r="N29" s="1017" t="s">
        <v>49</v>
      </c>
      <c r="O29" s="1017" t="s">
        <v>50</v>
      </c>
      <c r="P29" s="1017" t="s">
        <v>55</v>
      </c>
      <c r="Q29" s="1017" t="s">
        <v>173</v>
      </c>
      <c r="R29" s="1020" t="s">
        <v>68</v>
      </c>
    </row>
    <row r="30" spans="1:19" s="273" customFormat="1" ht="19.899999999999999" customHeight="1">
      <c r="A30" s="1038">
        <v>23</v>
      </c>
      <c r="B30" s="1013" t="s">
        <v>4848</v>
      </c>
      <c r="C30" s="1018" t="str">
        <f>VLOOKUP(LEFT(B30,3),'ships name'!A:C,2,FALSE)</f>
        <v>COSCO SHIPPING SEINE</v>
      </c>
      <c r="D30" s="1010" t="str">
        <f>VLOOKUP(LEFT(B30,3),'ships name'!A:C,3,FALSE)</f>
        <v xml:space="preserve"> </v>
      </c>
      <c r="E30" s="1013" t="s">
        <v>197</v>
      </c>
      <c r="F30" s="1083" t="str">
        <f t="shared" ref="F30" si="10">RIGHT(B30,3)&amp;"W"</f>
        <v>011W</v>
      </c>
      <c r="G30" s="1013" t="s">
        <v>4853</v>
      </c>
      <c r="H30" s="1028">
        <f>I30-1</f>
        <v>43621</v>
      </c>
      <c r="I30" s="1028">
        <f>J30-1</f>
        <v>43622</v>
      </c>
      <c r="J30" s="1019">
        <v>43623</v>
      </c>
      <c r="K30" s="1026">
        <f>J30+8</f>
        <v>43631</v>
      </c>
      <c r="L30" s="1009">
        <f>J30+21</f>
        <v>43644</v>
      </c>
      <c r="M30" s="1009">
        <f>J30+24</f>
        <v>43647</v>
      </c>
      <c r="N30" s="1069">
        <f t="shared" ref="N30:N31" si="11">J30+37</f>
        <v>43660</v>
      </c>
      <c r="O30" s="1009">
        <f>J30+28</f>
        <v>43651</v>
      </c>
      <c r="P30" s="1009">
        <f>J30+29</f>
        <v>43652</v>
      </c>
      <c r="Q30" s="1009">
        <f>J30+31</f>
        <v>43654</v>
      </c>
      <c r="R30" s="1019">
        <f>J30+33</f>
        <v>43656</v>
      </c>
    </row>
    <row r="31" spans="1:19" s="273" customFormat="1" ht="19.899999999999999" customHeight="1">
      <c r="A31" s="1041">
        <f>A30+1</f>
        <v>24</v>
      </c>
      <c r="B31" s="1003" t="s">
        <v>4849</v>
      </c>
      <c r="C31" s="1003" t="str">
        <f>VLOOKUP(LEFT(B31,3),'ships name'!A:C,2,FALSE)</f>
        <v>CMA CGM URAL</v>
      </c>
      <c r="D31" s="1011" t="str">
        <f>VLOOKUP(LEFT(B31,3),'ships name'!A:C,3,FALSE)</f>
        <v>达飞乌拉尔</v>
      </c>
      <c r="E31" s="1004" t="s">
        <v>197</v>
      </c>
      <c r="F31" s="1003" t="str">
        <f t="shared" ref="F31:F34" si="12">LEFT(G31,6)</f>
        <v>0BX3VW</v>
      </c>
      <c r="G31" s="1013" t="s">
        <v>4854</v>
      </c>
      <c r="H31" s="1009">
        <f t="shared" ref="H31:I31" si="13">I31-1</f>
        <v>43628</v>
      </c>
      <c r="I31" s="1009">
        <f t="shared" si="13"/>
        <v>43629</v>
      </c>
      <c r="J31" s="1007">
        <f>J30+7</f>
        <v>43630</v>
      </c>
      <c r="K31" s="1006">
        <f>J31+8</f>
        <v>43638</v>
      </c>
      <c r="L31" s="1004">
        <f>J31+21</f>
        <v>43651</v>
      </c>
      <c r="M31" s="1004">
        <f>J31+24</f>
        <v>43654</v>
      </c>
      <c r="N31" s="1069">
        <f t="shared" si="11"/>
        <v>43667</v>
      </c>
      <c r="O31" s="1004">
        <f>J31+28</f>
        <v>43658</v>
      </c>
      <c r="P31" s="1004">
        <f>J31+29</f>
        <v>43659</v>
      </c>
      <c r="Q31" s="1004">
        <f>J31+31</f>
        <v>43661</v>
      </c>
      <c r="R31" s="1007">
        <f>J31+33</f>
        <v>43663</v>
      </c>
    </row>
    <row r="32" spans="1:19" s="273" customFormat="1" ht="19.899999999999999" customHeight="1">
      <c r="A32" s="1041">
        <f>A31+1</f>
        <v>25</v>
      </c>
      <c r="B32" s="1003" t="s">
        <v>4850</v>
      </c>
      <c r="C32" s="1003" t="str">
        <f>VLOOKUP(LEFT(B32,3),'ships name'!A:C,2,FALSE)</f>
        <v>CMA CGM CONGO</v>
      </c>
      <c r="D32" s="1011" t="str">
        <f>VLOOKUP(LEFT(B32,3),'ships name'!A:C,3,FALSE)</f>
        <v xml:space="preserve"> </v>
      </c>
      <c r="E32" s="1004" t="s">
        <v>197</v>
      </c>
      <c r="F32" s="1082" t="str">
        <f t="shared" si="12"/>
        <v>0BX3XW</v>
      </c>
      <c r="G32" s="1013" t="s">
        <v>4855</v>
      </c>
      <c r="H32" s="1009">
        <f t="shared" ref="H32:I32" si="14">I32-1</f>
        <v>43635</v>
      </c>
      <c r="I32" s="1009">
        <f t="shared" si="14"/>
        <v>43636</v>
      </c>
      <c r="J32" s="1007">
        <f>J31+7</f>
        <v>43637</v>
      </c>
      <c r="K32" s="1006">
        <f>J32+8</f>
        <v>43645</v>
      </c>
      <c r="L32" s="1004">
        <f>J32+21</f>
        <v>43658</v>
      </c>
      <c r="M32" s="1004">
        <f>J32+24</f>
        <v>43661</v>
      </c>
      <c r="N32" s="1069">
        <f>J32+37</f>
        <v>43674</v>
      </c>
      <c r="O32" s="1004">
        <f>J32+28</f>
        <v>43665</v>
      </c>
      <c r="P32" s="1004">
        <f>J32+29</f>
        <v>43666</v>
      </c>
      <c r="Q32" s="1004">
        <f>J32+31</f>
        <v>43668</v>
      </c>
      <c r="R32" s="1007">
        <f>J32+33</f>
        <v>43670</v>
      </c>
    </row>
    <row r="33" spans="1:18" s="273" customFormat="1" ht="19.899999999999999" customHeight="1">
      <c r="A33" s="1041">
        <f>A32+1</f>
        <v>26</v>
      </c>
      <c r="B33" s="1003" t="s">
        <v>4851</v>
      </c>
      <c r="C33" s="1003" t="str">
        <f>VLOOKUP(LEFT(B33,3),'ships name'!A:C,2,FALSE)</f>
        <v>CCNI ANGOL</v>
      </c>
      <c r="D33" s="1011" t="str">
        <f>VLOOKUP(LEFT(B33,3),'ships name'!A:C,3,FALSE)</f>
        <v xml:space="preserve"> </v>
      </c>
      <c r="E33" s="1003" t="s">
        <v>197</v>
      </c>
      <c r="F33" s="1003" t="str">
        <f t="shared" si="12"/>
        <v>0BX3ZW</v>
      </c>
      <c r="G33" s="1013" t="s">
        <v>4856</v>
      </c>
      <c r="H33" s="1009">
        <f t="shared" ref="H33:I33" si="15">I33-1</f>
        <v>43642</v>
      </c>
      <c r="I33" s="1009">
        <f t="shared" si="15"/>
        <v>43643</v>
      </c>
      <c r="J33" s="1007">
        <f>J32+7</f>
        <v>43644</v>
      </c>
      <c r="K33" s="1006">
        <f>J33+8</f>
        <v>43652</v>
      </c>
      <c r="L33" s="1004">
        <f>J33+21</f>
        <v>43665</v>
      </c>
      <c r="M33" s="1004">
        <f>J33+24</f>
        <v>43668</v>
      </c>
      <c r="N33" s="1069">
        <f t="shared" ref="N33:N34" si="16">J33+37</f>
        <v>43681</v>
      </c>
      <c r="O33" s="1004">
        <f>J33+28</f>
        <v>43672</v>
      </c>
      <c r="P33" s="1004">
        <f>J33+29</f>
        <v>43673</v>
      </c>
      <c r="Q33" s="1004">
        <f>J33+31</f>
        <v>43675</v>
      </c>
      <c r="R33" s="1007">
        <f>J33+33</f>
        <v>43677</v>
      </c>
    </row>
    <row r="34" spans="1:18" s="273" customFormat="1" ht="19.899999999999999" customHeight="1">
      <c r="A34" s="1041">
        <f>A33+1</f>
        <v>27</v>
      </c>
      <c r="B34" s="1003" t="s">
        <v>4852</v>
      </c>
      <c r="C34" s="1003" t="str">
        <f>VLOOKUP(LEFT(B34,3),'ships name'!A:C,2,FALSE)</f>
        <v>CMA CGM VOLGA</v>
      </c>
      <c r="D34" s="1011" t="str">
        <f>VLOOKUP(LEFT(B34,3),'ships name'!A:C,3,FALSE)</f>
        <v>中海伏尔加河</v>
      </c>
      <c r="E34" s="1003" t="s">
        <v>197</v>
      </c>
      <c r="F34" s="1082" t="str">
        <f t="shared" si="12"/>
        <v>0BX41W</v>
      </c>
      <c r="G34" s="1012" t="s">
        <v>4857</v>
      </c>
      <c r="H34" s="1009">
        <f t="shared" ref="H34:I34" si="17">I34-1</f>
        <v>43649</v>
      </c>
      <c r="I34" s="1009">
        <f t="shared" si="17"/>
        <v>43650</v>
      </c>
      <c r="J34" s="1007">
        <f>J33+7</f>
        <v>43651</v>
      </c>
      <c r="K34" s="1006">
        <f>J34+8</f>
        <v>43659</v>
      </c>
      <c r="L34" s="1004">
        <f>J34+21</f>
        <v>43672</v>
      </c>
      <c r="M34" s="1004">
        <f>J34+24</f>
        <v>43675</v>
      </c>
      <c r="N34" s="1069">
        <f t="shared" si="16"/>
        <v>43688</v>
      </c>
      <c r="O34" s="1004">
        <f>J34+28</f>
        <v>43679</v>
      </c>
      <c r="P34" s="1004">
        <f>J34+29</f>
        <v>43680</v>
      </c>
      <c r="Q34" s="1004">
        <f>J34+31</f>
        <v>43682</v>
      </c>
      <c r="R34" s="1007">
        <f>J34+33</f>
        <v>43684</v>
      </c>
    </row>
    <row r="35" spans="1:18" ht="19.899999999999999" customHeight="1" thickBot="1"/>
    <row r="36" spans="1:18" s="421" customFormat="1" ht="25.9" customHeight="1">
      <c r="A36" s="1238" t="s">
        <v>3213</v>
      </c>
      <c r="B36" s="1239"/>
      <c r="C36" s="1239"/>
      <c r="D36" s="1016"/>
      <c r="E36" s="1525" t="s">
        <v>3214</v>
      </c>
      <c r="F36" s="1525"/>
      <c r="G36" s="1525"/>
      <c r="H36" s="1525" t="s">
        <v>3194</v>
      </c>
      <c r="I36" s="1525"/>
      <c r="J36" s="1526"/>
      <c r="K36" s="1527" t="s">
        <v>2</v>
      </c>
      <c r="L36" s="1528"/>
      <c r="M36" s="1528"/>
      <c r="N36" s="1528"/>
      <c r="O36" s="1528"/>
      <c r="P36" s="1528"/>
      <c r="Q36" s="1529"/>
      <c r="R36" s="1045"/>
    </row>
    <row r="37" spans="1:18" s="273" customFormat="1" ht="19.899999999999999" customHeight="1">
      <c r="A37" s="1226" t="s">
        <v>3</v>
      </c>
      <c r="B37" s="1209" t="s">
        <v>4</v>
      </c>
      <c r="C37" s="1209" t="s">
        <v>5</v>
      </c>
      <c r="D37" s="1254" t="s">
        <v>4291</v>
      </c>
      <c r="E37" s="1512" t="s">
        <v>6</v>
      </c>
      <c r="F37" s="1513"/>
      <c r="G37" s="1514"/>
      <c r="H37" s="1003" t="s">
        <v>7</v>
      </c>
      <c r="I37" s="1003" t="s">
        <v>8</v>
      </c>
      <c r="J37" s="1008" t="s">
        <v>9</v>
      </c>
      <c r="K37" s="331" t="s">
        <v>103</v>
      </c>
      <c r="L37" s="1003" t="s">
        <v>3215</v>
      </c>
      <c r="M37" s="1012" t="s">
        <v>3195</v>
      </c>
      <c r="N37" s="1003" t="s">
        <v>3216</v>
      </c>
      <c r="O37" s="1003" t="s">
        <v>3217</v>
      </c>
      <c r="P37" s="1003" t="s">
        <v>3218</v>
      </c>
      <c r="Q37" s="1008" t="s">
        <v>3219</v>
      </c>
    </row>
    <row r="38" spans="1:18" s="273" customFormat="1" ht="27.75" customHeight="1">
      <c r="A38" s="1226"/>
      <c r="B38" s="1209"/>
      <c r="C38" s="1209"/>
      <c r="D38" s="1430"/>
      <c r="E38" s="1388" t="s">
        <v>13</v>
      </c>
      <c r="F38" s="1453" t="s">
        <v>14</v>
      </c>
      <c r="G38" s="1454"/>
      <c r="H38" s="1003" t="s">
        <v>15</v>
      </c>
      <c r="I38" s="1003" t="s">
        <v>16</v>
      </c>
      <c r="J38" s="1008" t="s">
        <v>17</v>
      </c>
      <c r="K38" s="1046" t="s">
        <v>89</v>
      </c>
      <c r="L38" s="1003" t="s">
        <v>3220</v>
      </c>
      <c r="M38" s="1030" t="s">
        <v>3197</v>
      </c>
      <c r="N38" s="1003" t="s">
        <v>3221</v>
      </c>
      <c r="O38" s="1003" t="s">
        <v>3222</v>
      </c>
      <c r="P38" s="1003" t="s">
        <v>3223</v>
      </c>
      <c r="Q38" s="1008" t="s">
        <v>3224</v>
      </c>
    </row>
    <row r="39" spans="1:18" s="273" customFormat="1" ht="19.899999999999999" customHeight="1" thickBot="1">
      <c r="A39" s="1227"/>
      <c r="B39" s="1210"/>
      <c r="C39" s="1210"/>
      <c r="D39" s="1431"/>
      <c r="E39" s="1219"/>
      <c r="F39" s="1037" t="s">
        <v>4292</v>
      </c>
      <c r="G39" s="1023" t="s">
        <v>4293</v>
      </c>
      <c r="H39" s="1017" t="s">
        <v>23</v>
      </c>
      <c r="I39" s="1017" t="s">
        <v>34</v>
      </c>
      <c r="J39" s="1020" t="s">
        <v>34</v>
      </c>
      <c r="K39" s="1021" t="s">
        <v>3225</v>
      </c>
      <c r="L39" s="1017" t="s">
        <v>177</v>
      </c>
      <c r="M39" s="1014" t="s">
        <v>49</v>
      </c>
      <c r="N39" s="1017" t="s">
        <v>55</v>
      </c>
      <c r="O39" s="1017" t="s">
        <v>173</v>
      </c>
      <c r="P39" s="1017" t="s">
        <v>56</v>
      </c>
      <c r="Q39" s="1020" t="s">
        <v>68</v>
      </c>
    </row>
    <row r="40" spans="1:18" s="273" customFormat="1" ht="19.899999999999999" customHeight="1">
      <c r="A40" s="1047">
        <f>A30</f>
        <v>23</v>
      </c>
      <c r="B40" s="1003" t="s">
        <v>140</v>
      </c>
      <c r="C40" s="1018" t="str">
        <f>VLOOKUP(LEFT(B40,3),'ships name'!A:C,2,FALSE)</f>
        <v xml:space="preserve">void sailing </v>
      </c>
      <c r="D40" s="1010">
        <f>VLOOKUP(LEFT(B40,3),'ships name'!A:C,3,FALSE)</f>
        <v>0</v>
      </c>
      <c r="E40" s="1027" t="s">
        <v>197</v>
      </c>
      <c r="F40" s="1078" t="str">
        <f t="shared" ref="F40:F43" si="18">LEFT(G40,6)</f>
        <v>0BE3RW</v>
      </c>
      <c r="G40" s="1004" t="s">
        <v>4862</v>
      </c>
      <c r="H40" s="1028">
        <f>I40-1</f>
        <v>43622</v>
      </c>
      <c r="I40" s="1028">
        <f>J40</f>
        <v>43623</v>
      </c>
      <c r="J40" s="1029">
        <v>43623</v>
      </c>
      <c r="K40" s="1031">
        <f>J40+10</f>
        <v>43633</v>
      </c>
      <c r="L40" s="1009"/>
      <c r="M40" s="1009">
        <f>J40+26</f>
        <v>43649</v>
      </c>
      <c r="N40" s="1009">
        <f>J40+29</f>
        <v>43652</v>
      </c>
      <c r="O40" s="1009">
        <f>J40+31</f>
        <v>43654</v>
      </c>
      <c r="P40" s="1009">
        <f>J40+32</f>
        <v>43655</v>
      </c>
      <c r="Q40" s="1019">
        <f>J40+33</f>
        <v>43656</v>
      </c>
    </row>
    <row r="41" spans="1:18" s="273" customFormat="1" ht="19.899999999999999" customHeight="1">
      <c r="A41" s="1047">
        <f>A31</f>
        <v>24</v>
      </c>
      <c r="B41" s="1003" t="s">
        <v>4858</v>
      </c>
      <c r="C41" s="1003" t="str">
        <f>VLOOKUP(LEFT(B41,3),'ships name'!A:C,2,FALSE)</f>
        <v>DIAPOROS</v>
      </c>
      <c r="D41" s="1011" t="str">
        <f>VLOOKUP(LEFT(B41,3),'ships name'!A:C,3,FALSE)</f>
        <v xml:space="preserve"> </v>
      </c>
      <c r="E41" s="1004" t="s">
        <v>197</v>
      </c>
      <c r="F41" s="1055" t="str">
        <f>RIGHT(B41,3)&amp;"W"</f>
        <v>002W</v>
      </c>
      <c r="G41" s="1004" t="s">
        <v>4863</v>
      </c>
      <c r="H41" s="1004">
        <f t="shared" ref="H41:J44" si="19">H40+7</f>
        <v>43629</v>
      </c>
      <c r="I41" s="1004">
        <f t="shared" si="19"/>
        <v>43630</v>
      </c>
      <c r="J41" s="1007">
        <f t="shared" si="19"/>
        <v>43630</v>
      </c>
      <c r="K41" s="520">
        <f>J41+10</f>
        <v>43640</v>
      </c>
      <c r="L41" s="1004"/>
      <c r="M41" s="1004">
        <f>J41+26</f>
        <v>43656</v>
      </c>
      <c r="N41" s="1004">
        <f>J41+29</f>
        <v>43659</v>
      </c>
      <c r="O41" s="1004">
        <f>J41+31</f>
        <v>43661</v>
      </c>
      <c r="P41" s="1004">
        <f>J41+32</f>
        <v>43662</v>
      </c>
      <c r="Q41" s="1007">
        <f>J41+33</f>
        <v>43663</v>
      </c>
    </row>
    <row r="42" spans="1:18" s="273" customFormat="1" ht="19.899999999999999" customHeight="1">
      <c r="A42" s="1047">
        <f>A32</f>
        <v>25</v>
      </c>
      <c r="B42" s="1003" t="s">
        <v>4859</v>
      </c>
      <c r="C42" s="1003" t="str">
        <f>VLOOKUP(LEFT(B42,3),'ships name'!A:C,2,FALSE)</f>
        <v>CMA CGM MUSSET</v>
      </c>
      <c r="D42" s="1011" t="str">
        <f>VLOOKUP(LEFT(B42,3),'ships name'!A:C,3,FALSE)</f>
        <v xml:space="preserve"> </v>
      </c>
      <c r="E42" s="1004" t="s">
        <v>197</v>
      </c>
      <c r="F42" s="1003" t="str">
        <f t="shared" si="18"/>
        <v>0BE3VW</v>
      </c>
      <c r="G42" s="1004" t="s">
        <v>4864</v>
      </c>
      <c r="H42" s="1004">
        <f t="shared" si="19"/>
        <v>43636</v>
      </c>
      <c r="I42" s="1004">
        <f t="shared" si="19"/>
        <v>43637</v>
      </c>
      <c r="J42" s="1007">
        <f t="shared" si="19"/>
        <v>43637</v>
      </c>
      <c r="K42" s="520">
        <f>J42+10</f>
        <v>43647</v>
      </c>
      <c r="L42" s="1005">
        <f>J42+23</f>
        <v>43660</v>
      </c>
      <c r="M42" s="1004">
        <f>J42+27</f>
        <v>43664</v>
      </c>
      <c r="N42" s="1004">
        <f>J42+29</f>
        <v>43666</v>
      </c>
      <c r="O42" s="1004">
        <f>J42+31</f>
        <v>43668</v>
      </c>
      <c r="P42" s="1004">
        <f>J42+32</f>
        <v>43669</v>
      </c>
      <c r="Q42" s="1007">
        <f>J42+33</f>
        <v>43670</v>
      </c>
    </row>
    <row r="43" spans="1:18" s="273" customFormat="1" ht="19.899999999999999" customHeight="1">
      <c r="A43" s="1047">
        <f>A33</f>
        <v>26</v>
      </c>
      <c r="B43" s="1003" t="s">
        <v>4860</v>
      </c>
      <c r="C43" s="1079" t="str">
        <f>VLOOKUP(LEFT(B43,3),'ships name'!A:C,2,FALSE)</f>
        <v>XIN YAN TIAN</v>
      </c>
      <c r="D43" s="1011" t="str">
        <f>VLOOKUP(LEFT(B43,3),'ships name'!A:C,3,FALSE)</f>
        <v xml:space="preserve"> </v>
      </c>
      <c r="E43" s="1003" t="s">
        <v>197</v>
      </c>
      <c r="F43" s="1055" t="str">
        <f t="shared" si="18"/>
        <v>0BE3XW</v>
      </c>
      <c r="G43" s="1004" t="s">
        <v>4865</v>
      </c>
      <c r="H43" s="1004">
        <f t="shared" si="19"/>
        <v>43643</v>
      </c>
      <c r="I43" s="1004">
        <f t="shared" si="19"/>
        <v>43644</v>
      </c>
      <c r="J43" s="1007">
        <f t="shared" si="19"/>
        <v>43644</v>
      </c>
      <c r="K43" s="520">
        <f>J43+10</f>
        <v>43654</v>
      </c>
      <c r="L43" s="1005">
        <f>J43+23</f>
        <v>43667</v>
      </c>
      <c r="M43" s="1004">
        <f t="shared" ref="M43" si="20">J43+27</f>
        <v>43671</v>
      </c>
      <c r="N43" s="1004">
        <f>J43+29</f>
        <v>43673</v>
      </c>
      <c r="O43" s="1004">
        <f>J43+31</f>
        <v>43675</v>
      </c>
      <c r="P43" s="1004">
        <f>J43+32</f>
        <v>43676</v>
      </c>
      <c r="Q43" s="1007">
        <f>J43+33</f>
        <v>43677</v>
      </c>
    </row>
    <row r="44" spans="1:18" s="273" customFormat="1" ht="19.899999999999999" customHeight="1" thickBot="1">
      <c r="A44" s="1047">
        <f>A34</f>
        <v>27</v>
      </c>
      <c r="B44" s="1003" t="s">
        <v>4861</v>
      </c>
      <c r="C44" s="1003" t="str">
        <f>VLOOKUP(LEFT(B44,3),'ships name'!A:C,2,FALSE)</f>
        <v>EVER SAFETY</v>
      </c>
      <c r="D44" s="1011" t="str">
        <f>VLOOKUP(LEFT(B44,3),'ships name'!A:C,3,FALSE)</f>
        <v xml:space="preserve">  </v>
      </c>
      <c r="E44" s="1003" t="s">
        <v>197</v>
      </c>
      <c r="F44" s="1003" t="str">
        <f>RIGHT(B44,3)&amp;"W"</f>
        <v>383W</v>
      </c>
      <c r="G44" s="1025" t="s">
        <v>4866</v>
      </c>
      <c r="H44" s="1004">
        <f t="shared" si="19"/>
        <v>43650</v>
      </c>
      <c r="I44" s="1004">
        <f t="shared" si="19"/>
        <v>43651</v>
      </c>
      <c r="J44" s="1007">
        <f t="shared" si="19"/>
        <v>43651</v>
      </c>
      <c r="K44" s="520">
        <f>J44+10</f>
        <v>43661</v>
      </c>
      <c r="L44" s="1005">
        <f>J44+23</f>
        <v>43674</v>
      </c>
      <c r="M44" s="1004">
        <f t="shared" ref="M44" si="21">J44+27</f>
        <v>43678</v>
      </c>
      <c r="N44" s="1004">
        <f>J44+29</f>
        <v>43680</v>
      </c>
      <c r="O44" s="1004">
        <f>J44+31</f>
        <v>43682</v>
      </c>
      <c r="P44" s="1004">
        <f>J44+32</f>
        <v>43683</v>
      </c>
      <c r="Q44" s="1007">
        <f>J44+33</f>
        <v>43684</v>
      </c>
    </row>
    <row r="45" spans="1:18" ht="19.899999999999999" customHeight="1">
      <c r="A45" s="1048"/>
      <c r="B45" s="1049"/>
      <c r="C45" s="1050"/>
      <c r="D45" s="1050"/>
      <c r="E45" s="1050"/>
      <c r="F45" s="1050"/>
      <c r="G45" s="1050"/>
      <c r="H45" s="1050"/>
      <c r="I45" s="1050"/>
      <c r="J45" s="1050"/>
      <c r="K45" s="1050"/>
      <c r="L45" s="1050"/>
      <c r="M45" s="1050"/>
      <c r="N45" s="1050"/>
      <c r="O45" s="1050"/>
      <c r="P45" s="1050"/>
      <c r="Q45" s="1050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8" t="s">
        <v>0</v>
      </c>
      <c r="B2" s="1278"/>
      <c r="C2" s="1278"/>
      <c r="D2" s="1278"/>
      <c r="E2" s="1278"/>
      <c r="F2" s="1278"/>
      <c r="G2" s="1278"/>
      <c r="H2" s="1278"/>
      <c r="I2" s="1278"/>
      <c r="J2" s="1278"/>
      <c r="K2" s="1278"/>
      <c r="L2" s="1278"/>
      <c r="M2" s="1278"/>
      <c r="N2" s="1278"/>
      <c r="O2" s="1278"/>
    </row>
    <row r="3" spans="1:18" ht="28.15" customHeight="1">
      <c r="A3" s="1582"/>
      <c r="B3" s="1582"/>
      <c r="C3" s="1582"/>
      <c r="D3" s="1582"/>
      <c r="E3" s="1582"/>
      <c r="F3" s="1582"/>
      <c r="G3" s="1582"/>
      <c r="H3" s="1582"/>
      <c r="I3" s="1582"/>
      <c r="J3" s="1582"/>
      <c r="K3" s="1582"/>
      <c r="L3" s="1582"/>
      <c r="M3" s="1582"/>
      <c r="N3" s="1582"/>
      <c r="O3" s="1582"/>
    </row>
    <row r="4" spans="1:18" ht="28.15" customHeight="1">
      <c r="A4" s="1278" t="str">
        <f>IA!A4</f>
        <v>2019年06月船期表</v>
      </c>
      <c r="B4" s="1278"/>
      <c r="C4" s="1278"/>
      <c r="D4" s="1278"/>
      <c r="E4" s="1278"/>
      <c r="F4" s="1278"/>
      <c r="G4" s="1278"/>
      <c r="H4" s="1278"/>
      <c r="I4" s="1278"/>
      <c r="J4" s="1278"/>
      <c r="K4" s="1278"/>
      <c r="L4" s="1278"/>
      <c r="M4" s="1278"/>
      <c r="N4" s="1278"/>
      <c r="O4" s="1278"/>
    </row>
    <row r="5" spans="1:18" ht="28.15" customHeight="1" thickBot="1"/>
    <row r="6" spans="1:18" ht="25.9" customHeight="1" thickBot="1">
      <c r="A6" s="1087" t="s">
        <v>326</v>
      </c>
      <c r="B6" s="1088"/>
      <c r="C6" s="1088"/>
      <c r="D6" s="1182" t="s">
        <v>3089</v>
      </c>
      <c r="E6" s="1182"/>
      <c r="F6" s="1182"/>
      <c r="G6" s="1182"/>
      <c r="H6" s="1182" t="s">
        <v>3087</v>
      </c>
      <c r="I6" s="1182"/>
      <c r="J6" s="1182"/>
      <c r="K6" s="143"/>
      <c r="L6" s="1176" t="s">
        <v>2</v>
      </c>
      <c r="M6" s="1170"/>
      <c r="N6" s="1170"/>
      <c r="O6" s="1170"/>
      <c r="P6" s="1445"/>
      <c r="Q6" s="151"/>
      <c r="R6" s="152"/>
    </row>
    <row r="7" spans="1:18" ht="19.899999999999999" customHeight="1">
      <c r="A7" s="1228" t="s">
        <v>3</v>
      </c>
      <c r="B7" s="1499" t="s">
        <v>4</v>
      </c>
      <c r="C7" s="1499" t="s">
        <v>5</v>
      </c>
      <c r="D7" s="1499" t="s">
        <v>6</v>
      </c>
      <c r="E7" s="1499"/>
      <c r="F7" s="1499"/>
      <c r="G7" s="1499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26"/>
      <c r="B8" s="1209"/>
      <c r="C8" s="1209"/>
      <c r="D8" s="1209" t="s">
        <v>121</v>
      </c>
      <c r="E8" s="1209"/>
      <c r="F8" s="1209" t="s">
        <v>122</v>
      </c>
      <c r="G8" s="1567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27"/>
      <c r="B9" s="1210"/>
      <c r="C9" s="1210"/>
      <c r="D9" s="1210"/>
      <c r="E9" s="1210"/>
      <c r="F9" s="1210"/>
      <c r="G9" s="1568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74">
        <v>14</v>
      </c>
      <c r="B10" s="1232" t="s">
        <v>337</v>
      </c>
      <c r="C10" s="108" t="str">
        <f>VLOOKUP(B10,'ships name'!A:C,2,FALSE)</f>
        <v>APL Changi</v>
      </c>
      <c r="D10" s="1195" t="str">
        <f>TEXT(LEFT(F10,3)-1,"000")&amp;"E"</f>
        <v>186E</v>
      </c>
      <c r="E10" s="1195"/>
      <c r="F10" s="1584" t="s">
        <v>338</v>
      </c>
      <c r="G10" s="1190"/>
      <c r="H10" s="1542">
        <f>I10-1</f>
        <v>42833</v>
      </c>
      <c r="I10" s="1542">
        <f>J10</f>
        <v>42834</v>
      </c>
      <c r="J10" s="1542">
        <v>42834</v>
      </c>
      <c r="K10" s="1556">
        <f>J10+7</f>
        <v>42841</v>
      </c>
      <c r="L10" s="1542">
        <f>J10+27</f>
        <v>42861</v>
      </c>
      <c r="M10" s="1542">
        <f>J10+30</f>
        <v>42864</v>
      </c>
      <c r="N10" s="1542">
        <f>J10+32</f>
        <v>42866</v>
      </c>
      <c r="O10" s="1542">
        <f>J10+35</f>
        <v>42869</v>
      </c>
      <c r="P10" s="1542">
        <f>J10+37</f>
        <v>42871</v>
      </c>
      <c r="Q10" s="1542">
        <f>J10+39</f>
        <v>42873</v>
      </c>
      <c r="R10" s="1539"/>
    </row>
    <row r="11" spans="1:18" ht="19.899999999999999" customHeight="1">
      <c r="A11" s="1575"/>
      <c r="B11" s="1195"/>
      <c r="C11" s="109" t="str">
        <f>VLOOKUP(B10,'ships name'!A:C,3,FALSE)</f>
        <v>美总樟宜</v>
      </c>
      <c r="D11" s="1195"/>
      <c r="E11" s="1195"/>
      <c r="F11" s="1195"/>
      <c r="G11" s="1190"/>
      <c r="H11" s="1543"/>
      <c r="I11" s="1543"/>
      <c r="J11" s="1543"/>
      <c r="K11" s="1557"/>
      <c r="L11" s="1543"/>
      <c r="M11" s="1543"/>
      <c r="N11" s="1543"/>
      <c r="O11" s="1543"/>
      <c r="P11" s="1543"/>
      <c r="Q11" s="1543"/>
      <c r="R11" s="1540"/>
    </row>
    <row r="12" spans="1:18" ht="19.899999999999999" customHeight="1">
      <c r="A12" s="1576" t="str">
        <f>TEXT(A10+1,"00")</f>
        <v>15</v>
      </c>
      <c r="B12" s="1233" t="s">
        <v>339</v>
      </c>
      <c r="C12" s="110" t="str">
        <f>VLOOKUP(B12,'ships name'!A:C,2,FALSE)</f>
        <v>CMA CGM JULES VERNE</v>
      </c>
      <c r="D12" s="1195" t="str">
        <f>TEXT(LEFT(F12,3)-1,"000")&amp;"E"</f>
        <v>188E</v>
      </c>
      <c r="E12" s="1195"/>
      <c r="F12" s="1585" t="s">
        <v>299</v>
      </c>
      <c r="G12" s="1190"/>
      <c r="H12" s="1542">
        <f>I12-1</f>
        <v>42840</v>
      </c>
      <c r="I12" s="1542">
        <f>J12</f>
        <v>42841</v>
      </c>
      <c r="J12" s="1542">
        <f>J10+7</f>
        <v>42841</v>
      </c>
      <c r="K12" s="1556">
        <f>J12+7</f>
        <v>42848</v>
      </c>
      <c r="L12" s="1542">
        <f>J12+27</f>
        <v>42868</v>
      </c>
      <c r="M12" s="1542">
        <f>J12+30</f>
        <v>42871</v>
      </c>
      <c r="N12" s="1542">
        <f>J12+32</f>
        <v>42873</v>
      </c>
      <c r="O12" s="1542">
        <f>J12+35</f>
        <v>42876</v>
      </c>
      <c r="P12" s="1542">
        <f>J12+37</f>
        <v>42878</v>
      </c>
      <c r="Q12" s="1542">
        <f>J12+39</f>
        <v>42880</v>
      </c>
      <c r="R12" s="1539"/>
    </row>
    <row r="13" spans="1:18" ht="19.5" customHeight="1">
      <c r="A13" s="1577"/>
      <c r="B13" s="1195"/>
      <c r="C13" s="109" t="str">
        <f>VLOOKUP(B12,'ships name'!A:C,3,FALSE)</f>
        <v>达飞凡尔纳</v>
      </c>
      <c r="D13" s="1195"/>
      <c r="E13" s="1195"/>
      <c r="F13" s="1586"/>
      <c r="G13" s="1190"/>
      <c r="H13" s="1543"/>
      <c r="I13" s="1543"/>
      <c r="J13" s="1543"/>
      <c r="K13" s="1557"/>
      <c r="L13" s="1543"/>
      <c r="M13" s="1543"/>
      <c r="N13" s="1543"/>
      <c r="O13" s="1543"/>
      <c r="P13" s="1543"/>
      <c r="Q13" s="1543"/>
      <c r="R13" s="1540"/>
    </row>
    <row r="14" spans="1:18" ht="19.899999999999999" customHeight="1">
      <c r="A14" s="1576" t="str">
        <f>TEXT(A12+1,"00")</f>
        <v>16</v>
      </c>
      <c r="B14" s="1195" t="s">
        <v>340</v>
      </c>
      <c r="C14" s="109" t="str">
        <f>VLOOKUP(B14,'ships name'!A:C,2,FALSE)</f>
        <v>CMA CGM GEORG FORSTER</v>
      </c>
      <c r="D14" s="1195" t="str">
        <f>TEXT(LEFT(F14,3)-1,"000")&amp;"E"</f>
        <v>012E</v>
      </c>
      <c r="E14" s="1195"/>
      <c r="F14" s="1587" t="s">
        <v>341</v>
      </c>
      <c r="G14" s="1190"/>
      <c r="H14" s="1542">
        <f>I14-1</f>
        <v>42847</v>
      </c>
      <c r="I14" s="1542">
        <f>J14</f>
        <v>42848</v>
      </c>
      <c r="J14" s="1542">
        <f>J12+7</f>
        <v>42848</v>
      </c>
      <c r="K14" s="1556">
        <f>J14+7</f>
        <v>42855</v>
      </c>
      <c r="L14" s="1542">
        <f>J14+27</f>
        <v>42875</v>
      </c>
      <c r="M14" s="1542">
        <f>J14+30</f>
        <v>42878</v>
      </c>
      <c r="N14" s="1542">
        <f>J14+32</f>
        <v>42880</v>
      </c>
      <c r="O14" s="1542">
        <f>J14+35</f>
        <v>42883</v>
      </c>
      <c r="P14" s="1542">
        <f>J14+37</f>
        <v>42885</v>
      </c>
      <c r="Q14" s="1542">
        <f>J14+39</f>
        <v>42887</v>
      </c>
      <c r="R14" s="1539"/>
    </row>
    <row r="15" spans="1:18" ht="19.899999999999999" customHeight="1">
      <c r="A15" s="1577"/>
      <c r="B15" s="1195"/>
      <c r="C15" s="109" t="str">
        <f>VLOOKUP(B14,'ships name'!A:C,3,FALSE)</f>
        <v>达飞乔致福斯特</v>
      </c>
      <c r="D15" s="1195"/>
      <c r="E15" s="1195"/>
      <c r="F15" s="1586"/>
      <c r="G15" s="1190"/>
      <c r="H15" s="1543"/>
      <c r="I15" s="1543"/>
      <c r="J15" s="1543"/>
      <c r="K15" s="1557"/>
      <c r="L15" s="1543"/>
      <c r="M15" s="1543"/>
      <c r="N15" s="1543"/>
      <c r="O15" s="1543"/>
      <c r="P15" s="1543"/>
      <c r="Q15" s="1543"/>
      <c r="R15" s="1540"/>
    </row>
    <row r="16" spans="1:18" ht="19.899999999999999" customHeight="1">
      <c r="A16" s="1576" t="str">
        <f>TEXT(A14+1,"00")</f>
        <v>17</v>
      </c>
      <c r="B16" s="1195" t="s">
        <v>342</v>
      </c>
      <c r="C16" s="109" t="str">
        <f>VLOOKUP(B16,'ships name'!A:C,2,FALSE)</f>
        <v>CMA CGM CORTE REAL</v>
      </c>
      <c r="D16" s="1195" t="str">
        <f>TEXT(LEFT(F16,3)-1,"000")&amp;"E"</f>
        <v>013E</v>
      </c>
      <c r="E16" s="1195"/>
      <c r="F16" s="1588" t="s">
        <v>343</v>
      </c>
      <c r="G16" s="1190"/>
      <c r="H16" s="1542">
        <f>I16-1</f>
        <v>42854</v>
      </c>
      <c r="I16" s="1542">
        <f>J16</f>
        <v>42855</v>
      </c>
      <c r="J16" s="1542">
        <f>J14+7</f>
        <v>42855</v>
      </c>
      <c r="K16" s="1556">
        <f>J16+7</f>
        <v>42862</v>
      </c>
      <c r="L16" s="1542">
        <f>J16+27</f>
        <v>42882</v>
      </c>
      <c r="M16" s="1542">
        <f>J16+30</f>
        <v>42885</v>
      </c>
      <c r="N16" s="1542">
        <f>J16+32</f>
        <v>42887</v>
      </c>
      <c r="O16" s="1542">
        <f>J16+35</f>
        <v>42890</v>
      </c>
      <c r="P16" s="1542">
        <f>J16+37</f>
        <v>42892</v>
      </c>
      <c r="Q16" s="1542">
        <f>J16+39</f>
        <v>42894</v>
      </c>
      <c r="R16" s="1539"/>
    </row>
    <row r="17" spans="1:18" ht="19.899999999999999" customHeight="1">
      <c r="A17" s="1577"/>
      <c r="B17" s="1195"/>
      <c r="C17" s="109" t="str">
        <f>VLOOKUP(B16,'ships name'!A:C,3,FALSE)</f>
        <v>达飞卡瑞尔</v>
      </c>
      <c r="D17" s="1195"/>
      <c r="E17" s="1195"/>
      <c r="F17" s="1586"/>
      <c r="G17" s="1190"/>
      <c r="H17" s="1543"/>
      <c r="I17" s="1543"/>
      <c r="J17" s="1543"/>
      <c r="K17" s="1557"/>
      <c r="L17" s="1543"/>
      <c r="M17" s="1543"/>
      <c r="N17" s="1543"/>
      <c r="O17" s="1543"/>
      <c r="P17" s="1543"/>
      <c r="Q17" s="1543"/>
      <c r="R17" s="1540"/>
    </row>
    <row r="18" spans="1:18" ht="19.899999999999999" customHeight="1">
      <c r="A18" s="1576" t="str">
        <f>TEXT(A16+1,"00")</f>
        <v>18</v>
      </c>
      <c r="B18" s="1195" t="s">
        <v>344</v>
      </c>
      <c r="C18" s="109" t="str">
        <f>VLOOKUP(B18,'ships name'!A:C,2,FALSE)</f>
        <v>CMA CGM BOUGAINVILLE</v>
      </c>
      <c r="D18" s="1251" t="str">
        <f>TEXT(LEFT(F18,3)-1,"000")&amp;"E"</f>
        <v>016E</v>
      </c>
      <c r="E18" s="1195"/>
      <c r="F18" s="1505" t="s">
        <v>345</v>
      </c>
      <c r="G18" s="1195"/>
      <c r="H18" s="1542">
        <f>I18-1</f>
        <v>42861</v>
      </c>
      <c r="I18" s="1542">
        <f>J18</f>
        <v>42862</v>
      </c>
      <c r="J18" s="1542">
        <f>J16+7</f>
        <v>42862</v>
      </c>
      <c r="K18" s="1556">
        <f>J18+7</f>
        <v>42869</v>
      </c>
      <c r="L18" s="1542">
        <f>J18+27</f>
        <v>42889</v>
      </c>
      <c r="M18" s="1542">
        <f>J18+30</f>
        <v>42892</v>
      </c>
      <c r="N18" s="1542">
        <f>J18+32</f>
        <v>42894</v>
      </c>
      <c r="O18" s="1542">
        <f>J18+35</f>
        <v>42897</v>
      </c>
      <c r="P18" s="1542">
        <f>J18+37</f>
        <v>42899</v>
      </c>
      <c r="Q18" s="1542">
        <f>J18+39</f>
        <v>42901</v>
      </c>
      <c r="R18" s="1539"/>
    </row>
    <row r="19" spans="1:18" ht="19.899999999999999" customHeight="1" thickBot="1">
      <c r="A19" s="1578"/>
      <c r="B19" s="1191"/>
      <c r="C19" s="111" t="str">
        <f>VLOOKUP(B18,'ships name'!A:C,3,FALSE)</f>
        <v>达飞布甘维尔</v>
      </c>
      <c r="D19" s="1252"/>
      <c r="E19" s="1191"/>
      <c r="F19" s="1191"/>
      <c r="G19" s="1191"/>
      <c r="H19" s="1544"/>
      <c r="I19" s="1544"/>
      <c r="J19" s="1544"/>
      <c r="K19" s="1558"/>
      <c r="L19" s="1544"/>
      <c r="M19" s="1544"/>
      <c r="N19" s="1544"/>
      <c r="O19" s="1544"/>
      <c r="P19" s="1544"/>
      <c r="Q19" s="1544"/>
      <c r="R19" s="1541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41" t="s">
        <v>346</v>
      </c>
      <c r="B22" s="1242"/>
      <c r="C22" s="1242"/>
      <c r="D22" s="1182" t="s">
        <v>74</v>
      </c>
      <c r="E22" s="1182"/>
      <c r="F22" s="1182"/>
      <c r="G22" s="1182"/>
      <c r="H22" s="1182" t="s">
        <v>75</v>
      </c>
      <c r="I22" s="1182"/>
      <c r="J22" s="1182"/>
      <c r="K22" s="132"/>
      <c r="L22" s="1583" t="s">
        <v>2</v>
      </c>
      <c r="M22" s="1170"/>
      <c r="N22" s="1170"/>
      <c r="O22" s="1171"/>
    </row>
    <row r="23" spans="1:18" ht="19.899999999999999" customHeight="1">
      <c r="A23" s="1094" t="s">
        <v>3</v>
      </c>
      <c r="B23" s="1096" t="s">
        <v>4</v>
      </c>
      <c r="C23" s="1096" t="s">
        <v>5</v>
      </c>
      <c r="D23" s="1096" t="s">
        <v>6</v>
      </c>
      <c r="E23" s="1096"/>
      <c r="F23" s="1096"/>
      <c r="G23" s="1096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094"/>
      <c r="B24" s="1096"/>
      <c r="C24" s="1096"/>
      <c r="D24" s="1096" t="s">
        <v>121</v>
      </c>
      <c r="E24" s="1096"/>
      <c r="F24" s="1096" t="s">
        <v>122</v>
      </c>
      <c r="G24" s="1096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516"/>
      <c r="B25" s="1501"/>
      <c r="C25" s="1501"/>
      <c r="D25" s="1501"/>
      <c r="E25" s="1501"/>
      <c r="F25" s="1501"/>
      <c r="G25" s="1501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74">
        <f>A10+1</f>
        <v>15</v>
      </c>
      <c r="B26" s="1232" t="s">
        <v>349</v>
      </c>
      <c r="C26" s="108" t="str">
        <f>VLOOKUP(B26,'ships name'!A:C,2,FALSE)</f>
        <v>COSCO PORTUGAL</v>
      </c>
      <c r="D26" s="1195" t="str">
        <f>TEXT(LEFT(F26,3)-1,"000")&amp;"E"</f>
        <v>046E</v>
      </c>
      <c r="E26" s="1195"/>
      <c r="F26" s="1569" t="s">
        <v>350</v>
      </c>
      <c r="G26" s="1195"/>
      <c r="H26" s="1497">
        <f>I26-1</f>
        <v>42834</v>
      </c>
      <c r="I26" s="1205">
        <f>J26</f>
        <v>42835</v>
      </c>
      <c r="J26" s="1188">
        <v>42835</v>
      </c>
      <c r="K26" s="1559">
        <f>J26+6</f>
        <v>42841</v>
      </c>
      <c r="L26" s="1553">
        <f>J26+27</f>
        <v>42862</v>
      </c>
      <c r="M26" s="1545">
        <f>J26+32</f>
        <v>42867</v>
      </c>
      <c r="N26" s="1545">
        <f>J26+35</f>
        <v>42870</v>
      </c>
      <c r="O26" s="1547"/>
    </row>
    <row r="27" spans="1:18" ht="19.899999999999999" customHeight="1">
      <c r="A27" s="1575"/>
      <c r="B27" s="1195"/>
      <c r="C27" s="109" t="str">
        <f>VLOOKUP(B26,'ships name'!A:C,3,FALSE)</f>
        <v>中远葡萄牙</v>
      </c>
      <c r="D27" s="1195"/>
      <c r="E27" s="1195"/>
      <c r="F27" s="1195"/>
      <c r="G27" s="1195"/>
      <c r="H27" s="1497"/>
      <c r="I27" s="1190"/>
      <c r="J27" s="1192"/>
      <c r="K27" s="1557"/>
      <c r="L27" s="1551"/>
      <c r="M27" s="1205"/>
      <c r="N27" s="1205"/>
      <c r="O27" s="1188"/>
    </row>
    <row r="28" spans="1:18" ht="19.899999999999999" customHeight="1">
      <c r="A28" s="1576">
        <f>A12+1</f>
        <v>16</v>
      </c>
      <c r="B28" s="1233" t="s">
        <v>351</v>
      </c>
      <c r="C28" s="110" t="str">
        <f>VLOOKUP(B28,'ships name'!A:C,2,FALSE)</f>
        <v xml:space="preserve">COSCO NETHERLANDS </v>
      </c>
      <c r="D28" s="1195" t="str">
        <f>TEXT(LEFT(F28,3)-1,"000")&amp;"E"</f>
        <v>003E</v>
      </c>
      <c r="E28" s="1195"/>
      <c r="F28" s="1569" t="s">
        <v>352</v>
      </c>
      <c r="G28" s="1195"/>
      <c r="H28" s="1497">
        <f>H26+7</f>
        <v>42841</v>
      </c>
      <c r="I28" s="1205">
        <f>I26+7</f>
        <v>42842</v>
      </c>
      <c r="J28" s="1188">
        <f>J26+7</f>
        <v>42842</v>
      </c>
      <c r="K28" s="1556">
        <f>J28+6</f>
        <v>42848</v>
      </c>
      <c r="L28" s="1550">
        <f>J28+27</f>
        <v>42869</v>
      </c>
      <c r="M28" s="1212">
        <f>J28+32</f>
        <v>42874</v>
      </c>
      <c r="N28" s="1212">
        <f>J28+35</f>
        <v>42877</v>
      </c>
      <c r="O28" s="1295"/>
    </row>
    <row r="29" spans="1:18" ht="19.899999999999999" customHeight="1">
      <c r="A29" s="1577"/>
      <c r="B29" s="1195"/>
      <c r="C29" s="109" t="str">
        <f>VLOOKUP(B28,'ships name'!A:C,3,FALSE)</f>
        <v>中远荷兰</v>
      </c>
      <c r="D29" s="1195"/>
      <c r="E29" s="1195"/>
      <c r="F29" s="1195"/>
      <c r="G29" s="1195"/>
      <c r="H29" s="1497"/>
      <c r="I29" s="1190"/>
      <c r="J29" s="1192"/>
      <c r="K29" s="1557"/>
      <c r="L29" s="1551"/>
      <c r="M29" s="1205"/>
      <c r="N29" s="1205"/>
      <c r="O29" s="1188"/>
    </row>
    <row r="30" spans="1:18" ht="19.899999999999999" customHeight="1">
      <c r="A30" s="1576">
        <f>A14+1</f>
        <v>17</v>
      </c>
      <c r="B30" s="1195" t="s">
        <v>353</v>
      </c>
      <c r="C30" s="110" t="str">
        <f>VLOOKUP(B30,'ships name'!A:C,2,FALSE)</f>
        <v xml:space="preserve">CSCL SATURN </v>
      </c>
      <c r="D30" s="1195" t="str">
        <f>TEXT(LEFT(F30,3)-1,"000")&amp;"E"</f>
        <v>050E</v>
      </c>
      <c r="E30" s="1195"/>
      <c r="F30" s="1569" t="s">
        <v>354</v>
      </c>
      <c r="G30" s="1195"/>
      <c r="H30" s="1497">
        <f>H28+7</f>
        <v>42848</v>
      </c>
      <c r="I30" s="1205">
        <f>I28+7</f>
        <v>42849</v>
      </c>
      <c r="J30" s="1188">
        <f>J28+7</f>
        <v>42849</v>
      </c>
      <c r="K30" s="1556">
        <f>J30+6</f>
        <v>42855</v>
      </c>
      <c r="L30" s="1550">
        <f>J30+27</f>
        <v>42876</v>
      </c>
      <c r="M30" s="1212">
        <f>J30+32</f>
        <v>42881</v>
      </c>
      <c r="N30" s="1212">
        <f>J30+35</f>
        <v>42884</v>
      </c>
      <c r="O30" s="1295"/>
    </row>
    <row r="31" spans="1:18" ht="19.899999999999999" customHeight="1">
      <c r="A31" s="1577"/>
      <c r="B31" s="1195"/>
      <c r="C31" s="109" t="str">
        <f>VLOOKUP(B30,'ships name'!A:C,3,FALSE)</f>
        <v>中海土星</v>
      </c>
      <c r="D31" s="1195"/>
      <c r="E31" s="1195"/>
      <c r="F31" s="1195"/>
      <c r="G31" s="1195"/>
      <c r="H31" s="1497"/>
      <c r="I31" s="1190"/>
      <c r="J31" s="1192"/>
      <c r="K31" s="1557"/>
      <c r="L31" s="1551"/>
      <c r="M31" s="1205"/>
      <c r="N31" s="1205"/>
      <c r="O31" s="1188"/>
    </row>
    <row r="32" spans="1:18" ht="19.899999999999999" customHeight="1">
      <c r="A32" s="1576">
        <f>A16+1</f>
        <v>18</v>
      </c>
      <c r="B32" s="1195" t="s">
        <v>27</v>
      </c>
      <c r="C32" s="110" t="str">
        <f>VLOOKUP(B32,'ships name'!A:C,2,FALSE)</f>
        <v>TO BE ADVISED</v>
      </c>
      <c r="D32" s="1195" t="str">
        <f>TEXT(LEFT(F32,3)-1,"000")&amp;"E"</f>
        <v>052E</v>
      </c>
      <c r="E32" s="1195"/>
      <c r="F32" s="1569" t="s">
        <v>355</v>
      </c>
      <c r="G32" s="1195"/>
      <c r="H32" s="1497">
        <f>H30+7</f>
        <v>42855</v>
      </c>
      <c r="I32" s="1205">
        <f>I30+7</f>
        <v>42856</v>
      </c>
      <c r="J32" s="1188">
        <f>J30+7</f>
        <v>42856</v>
      </c>
      <c r="K32" s="1556">
        <f>J32+6</f>
        <v>42862</v>
      </c>
      <c r="L32" s="1550">
        <f>J32+27</f>
        <v>42883</v>
      </c>
      <c r="M32" s="1212">
        <f>J32+32</f>
        <v>42888</v>
      </c>
      <c r="N32" s="1212">
        <f>J32+35</f>
        <v>42891</v>
      </c>
      <c r="O32" s="1295"/>
    </row>
    <row r="33" spans="1:18" ht="19.899999999999999" customHeight="1">
      <c r="A33" s="1577"/>
      <c r="B33" s="1195"/>
      <c r="C33" s="109" t="str">
        <f>VLOOKUP(B32,'ships name'!A:C,3,FALSE)</f>
        <v>TO BE ADVISED</v>
      </c>
      <c r="D33" s="1195"/>
      <c r="E33" s="1195"/>
      <c r="F33" s="1195"/>
      <c r="G33" s="1195"/>
      <c r="H33" s="1497"/>
      <c r="I33" s="1190"/>
      <c r="J33" s="1192"/>
      <c r="K33" s="1557"/>
      <c r="L33" s="1551"/>
      <c r="M33" s="1205"/>
      <c r="N33" s="1205"/>
      <c r="O33" s="1188"/>
    </row>
    <row r="34" spans="1:18" ht="19.899999999999999" customHeight="1">
      <c r="A34" s="1576">
        <f>A18+1</f>
        <v>19</v>
      </c>
      <c r="B34" s="1195" t="s">
        <v>356</v>
      </c>
      <c r="C34" s="110" t="str">
        <f>VLOOKUP(B34,'ships name'!A:C,2,FALSE)</f>
        <v>COSCO BELGIUM</v>
      </c>
      <c r="D34" s="1251" t="str">
        <f>TEXT(LEFT(F34,3)-1,"000")&amp;"E"</f>
        <v>054E</v>
      </c>
      <c r="E34" s="1195"/>
      <c r="F34" s="1505" t="s">
        <v>357</v>
      </c>
      <c r="G34" s="1195"/>
      <c r="H34" s="1497">
        <f>H32+7</f>
        <v>42862</v>
      </c>
      <c r="I34" s="1190">
        <f>I32+7</f>
        <v>42863</v>
      </c>
      <c r="J34" s="1192">
        <f>J32+7</f>
        <v>42863</v>
      </c>
      <c r="K34" s="1556">
        <f>J34+6</f>
        <v>42869</v>
      </c>
      <c r="L34" s="1550">
        <f>J34+27</f>
        <v>42890</v>
      </c>
      <c r="M34" s="1212">
        <f>J34+32</f>
        <v>42895</v>
      </c>
      <c r="N34" s="1212">
        <f>J34+35</f>
        <v>42898</v>
      </c>
      <c r="O34" s="1548"/>
    </row>
    <row r="35" spans="1:18" ht="19.899999999999999" customHeight="1">
      <c r="A35" s="1578"/>
      <c r="B35" s="1191"/>
      <c r="C35" s="111" t="str">
        <f>VLOOKUP(B34,'ships name'!A:C,3,FALSE)</f>
        <v>中远比利时</v>
      </c>
      <c r="D35" s="1252"/>
      <c r="E35" s="1191"/>
      <c r="F35" s="1191"/>
      <c r="G35" s="1191"/>
      <c r="H35" s="1498"/>
      <c r="I35" s="1475"/>
      <c r="J35" s="1194"/>
      <c r="K35" s="1558"/>
      <c r="L35" s="1552"/>
      <c r="M35" s="1126"/>
      <c r="N35" s="1126"/>
      <c r="O35" s="1546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41" t="s">
        <v>358</v>
      </c>
      <c r="B37" s="1242"/>
      <c r="C37" s="1242"/>
      <c r="D37" s="1182" t="s">
        <v>3089</v>
      </c>
      <c r="E37" s="1182"/>
      <c r="F37" s="1182"/>
      <c r="G37" s="1182"/>
      <c r="H37" s="1182" t="s">
        <v>3087</v>
      </c>
      <c r="I37" s="1182"/>
      <c r="J37" s="1182"/>
      <c r="K37" s="143"/>
      <c r="L37" s="1176" t="s">
        <v>2</v>
      </c>
      <c r="M37" s="1170"/>
      <c r="N37" s="1170"/>
      <c r="O37" s="1170"/>
      <c r="P37" s="1171"/>
    </row>
    <row r="38" spans="1:18" ht="19.899999999999999" customHeight="1">
      <c r="A38" s="1094" t="s">
        <v>3</v>
      </c>
      <c r="B38" s="1096" t="s">
        <v>4</v>
      </c>
      <c r="C38" s="1096" t="s">
        <v>5</v>
      </c>
      <c r="D38" s="1096" t="s">
        <v>6</v>
      </c>
      <c r="E38" s="1096"/>
      <c r="F38" s="1096"/>
      <c r="G38" s="1096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094"/>
      <c r="B39" s="1096"/>
      <c r="C39" s="1096"/>
      <c r="D39" s="1096" t="s">
        <v>121</v>
      </c>
      <c r="E39" s="1096"/>
      <c r="F39" s="1096" t="s">
        <v>122</v>
      </c>
      <c r="G39" s="1096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516"/>
      <c r="B40" s="1501"/>
      <c r="C40" s="1501"/>
      <c r="D40" s="1501"/>
      <c r="E40" s="1501"/>
      <c r="F40" s="1501"/>
      <c r="G40" s="1501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29">
        <f>A10</f>
        <v>14</v>
      </c>
      <c r="B41" s="1232" t="s">
        <v>362</v>
      </c>
      <c r="C41" s="108" t="str">
        <f>VLOOKUP(B41,'ships name'!A:C,2,FALSE)</f>
        <v>CMA CGM AMERIGO VESPUCCI</v>
      </c>
      <c r="D41" s="1195" t="str">
        <f>TEXT(LEFT(F41,3)-1,"000")&amp;"E"</f>
        <v>010E</v>
      </c>
      <c r="E41" s="1195"/>
      <c r="F41" s="1566" t="s">
        <v>363</v>
      </c>
      <c r="G41" s="1233"/>
      <c r="H41" s="1205">
        <f>I41-1</f>
        <v>42829</v>
      </c>
      <c r="I41" s="1205">
        <f>J41-1</f>
        <v>42830</v>
      </c>
      <c r="J41" s="1188">
        <v>42831</v>
      </c>
      <c r="K41" s="1559">
        <f>J41+10</f>
        <v>42841</v>
      </c>
      <c r="L41" s="1553">
        <f>J41+30</f>
        <v>42861</v>
      </c>
      <c r="M41" s="1545">
        <f>J41+32</f>
        <v>42863</v>
      </c>
      <c r="N41" s="1545">
        <f>J41+34</f>
        <v>42865</v>
      </c>
      <c r="O41" s="1549">
        <f>J41+38</f>
        <v>42869</v>
      </c>
      <c r="P41" s="1547">
        <f>J41+47</f>
        <v>42878</v>
      </c>
    </row>
    <row r="42" spans="1:18" ht="19.899999999999999" customHeight="1">
      <c r="A42" s="1226"/>
      <c r="B42" s="1195"/>
      <c r="C42" s="109" t="str">
        <f>VLOOKUP(B41,'ships name'!A:C,3,FALSE)</f>
        <v>达飞韦斯普奇</v>
      </c>
      <c r="D42" s="1195"/>
      <c r="E42" s="1195"/>
      <c r="F42" s="1195"/>
      <c r="G42" s="1195"/>
      <c r="H42" s="1190"/>
      <c r="I42" s="1190"/>
      <c r="J42" s="1192"/>
      <c r="K42" s="1557"/>
      <c r="L42" s="1551"/>
      <c r="M42" s="1205"/>
      <c r="N42" s="1205"/>
      <c r="O42" s="1492"/>
      <c r="P42" s="1188"/>
    </row>
    <row r="43" spans="1:18" ht="19.899999999999999" customHeight="1">
      <c r="A43" s="1229" t="str">
        <f>A12</f>
        <v>15</v>
      </c>
      <c r="B43" s="1233" t="s">
        <v>364</v>
      </c>
      <c r="C43" s="110" t="str">
        <f>VLOOKUP(B43,'ships name'!A:C,2,FALSE)</f>
        <v>CMA CGM ALASKA</v>
      </c>
      <c r="D43" s="1195" t="str">
        <f>TEXT(LEFT(F43,3)-1,"000")&amp;"E"</f>
        <v>012E</v>
      </c>
      <c r="E43" s="1195"/>
      <c r="F43" s="1569" t="s">
        <v>341</v>
      </c>
      <c r="G43" s="1233"/>
      <c r="H43" s="1355">
        <f>H41+7</f>
        <v>42836</v>
      </c>
      <c r="I43" s="1355">
        <f>H43+1</f>
        <v>42837</v>
      </c>
      <c r="J43" s="1295">
        <f>J41+7</f>
        <v>42838</v>
      </c>
      <c r="K43" s="1556">
        <f>J43+10</f>
        <v>42848</v>
      </c>
      <c r="L43" s="1550">
        <f>J43+30</f>
        <v>42868</v>
      </c>
      <c r="M43" s="1212">
        <f>J43+32</f>
        <v>42870</v>
      </c>
      <c r="N43" s="1212">
        <f>J43+34</f>
        <v>42872</v>
      </c>
      <c r="O43" s="1355">
        <f>J43+38</f>
        <v>42876</v>
      </c>
      <c r="P43" s="1295">
        <f>J43+47</f>
        <v>42885</v>
      </c>
    </row>
    <row r="44" spans="1:18" ht="19.899999999999999" customHeight="1">
      <c r="A44" s="1226"/>
      <c r="B44" s="1195"/>
      <c r="C44" s="109">
        <f>VLOOKUP(B43,'ships name'!A:C,3,FALSE)</f>
        <v>0</v>
      </c>
      <c r="D44" s="1195"/>
      <c r="E44" s="1195"/>
      <c r="F44" s="1195"/>
      <c r="G44" s="1195"/>
      <c r="H44" s="1492"/>
      <c r="I44" s="1492"/>
      <c r="J44" s="1188"/>
      <c r="K44" s="1557"/>
      <c r="L44" s="1551"/>
      <c r="M44" s="1205"/>
      <c r="N44" s="1205"/>
      <c r="O44" s="1492"/>
      <c r="P44" s="1188"/>
    </row>
    <row r="45" spans="1:18" ht="19.899999999999999" customHeight="1">
      <c r="A45" s="1229" t="str">
        <f>A14</f>
        <v>16</v>
      </c>
      <c r="B45" s="1233" t="s">
        <v>365</v>
      </c>
      <c r="C45" s="110" t="str">
        <f>VLOOKUP(B45,'ships name'!A:C,2,FALSE)</f>
        <v>CMA CGM LAPEROUSE</v>
      </c>
      <c r="D45" s="1195" t="str">
        <f>TEXT(LEFT(F45,3)-1,"000")&amp;"E"</f>
        <v>014E</v>
      </c>
      <c r="E45" s="1195"/>
      <c r="F45" s="1233" t="s">
        <v>366</v>
      </c>
      <c r="G45" s="1190"/>
      <c r="H45" s="1355">
        <f>H43+7</f>
        <v>42843</v>
      </c>
      <c r="I45" s="1355">
        <f>H45+1</f>
        <v>42844</v>
      </c>
      <c r="J45" s="1295">
        <f>J43+7</f>
        <v>42845</v>
      </c>
      <c r="K45" s="1556">
        <f>J45+10</f>
        <v>42855</v>
      </c>
      <c r="L45" s="1212">
        <f>J45+30</f>
        <v>42875</v>
      </c>
      <c r="M45" s="1212">
        <f>J45+32</f>
        <v>42877</v>
      </c>
      <c r="N45" s="1212">
        <f>J45+34</f>
        <v>42879</v>
      </c>
      <c r="O45" s="1355">
        <f>J45+38</f>
        <v>42883</v>
      </c>
      <c r="P45" s="1295">
        <f>J45+47</f>
        <v>42892</v>
      </c>
    </row>
    <row r="46" spans="1:18" ht="19.899999999999999" customHeight="1">
      <c r="A46" s="1226"/>
      <c r="B46" s="1195"/>
      <c r="C46" s="109" t="str">
        <f>VLOOKUP(B45,'ships name'!A:C,3,FALSE)</f>
        <v>达飞拉彼鲁兹</v>
      </c>
      <c r="D46" s="1195"/>
      <c r="E46" s="1195"/>
      <c r="F46" s="1195"/>
      <c r="G46" s="1190"/>
      <c r="H46" s="1492"/>
      <c r="I46" s="1492"/>
      <c r="J46" s="1188"/>
      <c r="K46" s="1557"/>
      <c r="L46" s="1205"/>
      <c r="M46" s="1205"/>
      <c r="N46" s="1205"/>
      <c r="O46" s="1492"/>
      <c r="P46" s="1188"/>
    </row>
    <row r="47" spans="1:18" ht="19.899999999999999" customHeight="1">
      <c r="A47" s="1229" t="str">
        <f>A16</f>
        <v>17</v>
      </c>
      <c r="B47" s="1233"/>
      <c r="C47" s="110" t="e">
        <f>VLOOKUP(B47,'ships name'!A:C,2,FALSE)</f>
        <v>#N/A</v>
      </c>
      <c r="D47" s="1195" t="str">
        <f>TEXT(LEFT(F47,3)-1,"000")&amp;"E"</f>
        <v>017E</v>
      </c>
      <c r="E47" s="1195"/>
      <c r="F47" s="1233" t="s">
        <v>367</v>
      </c>
      <c r="G47" s="1190"/>
      <c r="H47" s="1355">
        <f>H45+7</f>
        <v>42850</v>
      </c>
      <c r="I47" s="1355">
        <f>H47+1</f>
        <v>42851</v>
      </c>
      <c r="J47" s="1295">
        <f>J45+7</f>
        <v>42852</v>
      </c>
      <c r="K47" s="1556">
        <f>J47+10</f>
        <v>42862</v>
      </c>
      <c r="L47" s="1212">
        <f>J47+30</f>
        <v>42882</v>
      </c>
      <c r="M47" s="1212">
        <f>J47+32</f>
        <v>42884</v>
      </c>
      <c r="N47" s="1212">
        <f>J47+34</f>
        <v>42886</v>
      </c>
      <c r="O47" s="1355">
        <f>J47+38</f>
        <v>42890</v>
      </c>
      <c r="P47" s="1295">
        <f>J47+47</f>
        <v>42899</v>
      </c>
    </row>
    <row r="48" spans="1:18" ht="19.899999999999999" customHeight="1">
      <c r="A48" s="1226"/>
      <c r="B48" s="1195"/>
      <c r="C48" s="109" t="e">
        <f>VLOOKUP(B47,'ships name'!A:C,3,FALSE)</f>
        <v>#N/A</v>
      </c>
      <c r="D48" s="1195"/>
      <c r="E48" s="1195"/>
      <c r="F48" s="1195"/>
      <c r="G48" s="1190"/>
      <c r="H48" s="1492"/>
      <c r="I48" s="1492"/>
      <c r="J48" s="1188"/>
      <c r="K48" s="1557"/>
      <c r="L48" s="1205"/>
      <c r="M48" s="1205"/>
      <c r="N48" s="1205"/>
      <c r="O48" s="1492"/>
      <c r="P48" s="1188"/>
    </row>
    <row r="49" spans="1:17" ht="19.899999999999999" customHeight="1">
      <c r="A49" s="1229" t="str">
        <f>A18</f>
        <v>18</v>
      </c>
      <c r="B49" s="1233" t="s">
        <v>368</v>
      </c>
      <c r="C49" s="110" t="str">
        <f>VLOOKUP(B49,'ships name'!A:C,2,FALSE)</f>
        <v>APL Merlion</v>
      </c>
      <c r="D49" s="1251" t="str">
        <f>TEXT(LEFT(F49,3)-1,"000")&amp;"E"</f>
        <v>017E</v>
      </c>
      <c r="E49" s="1195"/>
      <c r="F49" s="1505" t="s">
        <v>367</v>
      </c>
      <c r="G49" s="1195"/>
      <c r="H49" s="1190">
        <f>H47+7</f>
        <v>42857</v>
      </c>
      <c r="I49" s="1190">
        <f>H49+1</f>
        <v>42858</v>
      </c>
      <c r="J49" s="1192">
        <f>J47+7</f>
        <v>42859</v>
      </c>
      <c r="K49" s="1556">
        <f>J49+10</f>
        <v>42869</v>
      </c>
      <c r="L49" s="1554">
        <f>J49+30</f>
        <v>42889</v>
      </c>
      <c r="M49" s="1212">
        <f>J49+32</f>
        <v>42891</v>
      </c>
      <c r="N49" s="1212">
        <f>J49+34</f>
        <v>42893</v>
      </c>
      <c r="O49" s="1355">
        <f>J49+38</f>
        <v>42897</v>
      </c>
      <c r="P49" s="1295">
        <f>J49+47</f>
        <v>42906</v>
      </c>
    </row>
    <row r="50" spans="1:17" ht="19.899999999999999" customHeight="1" thickBot="1">
      <c r="A50" s="1226"/>
      <c r="B50" s="1191"/>
      <c r="C50" s="111" t="str">
        <f>VLOOKUP(B49,'ships name'!A:C,3,FALSE)</f>
        <v>美总默林</v>
      </c>
      <c r="D50" s="1252"/>
      <c r="E50" s="1191"/>
      <c r="F50" s="1191"/>
      <c r="G50" s="1191"/>
      <c r="H50" s="1475"/>
      <c r="I50" s="1475"/>
      <c r="J50" s="1194"/>
      <c r="K50" s="1558"/>
      <c r="L50" s="1555"/>
      <c r="M50" s="1126"/>
      <c r="N50" s="1126"/>
      <c r="O50" s="1496"/>
      <c r="P50" s="1546"/>
    </row>
    <row r="51" spans="1:17" ht="19.899999999999999" customHeight="1" thickBot="1"/>
    <row r="52" spans="1:17" s="100" customFormat="1" ht="25.9" customHeight="1">
      <c r="A52" s="1241" t="s">
        <v>369</v>
      </c>
      <c r="B52" s="1242"/>
      <c r="C52" s="1242"/>
      <c r="D52" s="1182" t="s">
        <v>3088</v>
      </c>
      <c r="E52" s="1182"/>
      <c r="F52" s="1182"/>
      <c r="G52" s="1182"/>
      <c r="H52" s="1182" t="s">
        <v>3087</v>
      </c>
      <c r="I52" s="1182"/>
      <c r="J52" s="1182"/>
      <c r="K52" s="150"/>
      <c r="L52" s="1579" t="s">
        <v>2</v>
      </c>
      <c r="M52" s="1580"/>
      <c r="N52" s="1580"/>
      <c r="O52" s="1581"/>
      <c r="Q52" s="100">
        <v>1</v>
      </c>
    </row>
    <row r="53" spans="1:17" ht="19.899999999999999" customHeight="1">
      <c r="A53" s="1094" t="s">
        <v>3</v>
      </c>
      <c r="B53" s="1096" t="s">
        <v>4</v>
      </c>
      <c r="C53" s="1096" t="s">
        <v>5</v>
      </c>
      <c r="D53" s="1096" t="s">
        <v>6</v>
      </c>
      <c r="E53" s="1096"/>
      <c r="F53" s="1096"/>
      <c r="G53" s="1096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094"/>
      <c r="B54" s="1096"/>
      <c r="C54" s="1096"/>
      <c r="D54" s="1096" t="s">
        <v>121</v>
      </c>
      <c r="E54" s="1096" t="s">
        <v>29</v>
      </c>
      <c r="F54" s="1096" t="s">
        <v>122</v>
      </c>
      <c r="G54" s="1096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516"/>
      <c r="B55" s="1501"/>
      <c r="C55" s="1501"/>
      <c r="D55" s="1501"/>
      <c r="E55" s="1501"/>
      <c r="F55" s="1501"/>
      <c r="G55" s="1501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29">
        <v>14</v>
      </c>
      <c r="B56" s="1232" t="s">
        <v>374</v>
      </c>
      <c r="C56" s="108" t="e">
        <f>VLOOKUP(B56,'ships name'!A:C,2,FALSE)</f>
        <v>#N/A</v>
      </c>
      <c r="D56" s="1232"/>
      <c r="E56" s="1232"/>
      <c r="F56" s="1504" t="s">
        <v>363</v>
      </c>
      <c r="G56" s="1195"/>
      <c r="H56" s="1190">
        <f>I56-1</f>
        <v>42828</v>
      </c>
      <c r="I56" s="1205">
        <f>J56-2</f>
        <v>42829</v>
      </c>
      <c r="J56" s="1188">
        <v>42831</v>
      </c>
      <c r="K56" s="1556">
        <f>J56+7</f>
        <v>42838</v>
      </c>
      <c r="L56" s="1550">
        <f>J56+29</f>
        <v>42860</v>
      </c>
      <c r="M56" s="1212">
        <f>J56+33</f>
        <v>42864</v>
      </c>
      <c r="N56" s="1212">
        <f>J56+37</f>
        <v>42868</v>
      </c>
      <c r="O56" s="1295">
        <f>J56+27</f>
        <v>42858</v>
      </c>
    </row>
    <row r="57" spans="1:17" ht="19.899999999999999" customHeight="1">
      <c r="A57" s="1226"/>
      <c r="B57" s="1195"/>
      <c r="C57" s="109" t="e">
        <f>VLOOKUP(B56,'ships name'!A:C,3,FALSE)</f>
        <v>#N/A</v>
      </c>
      <c r="D57" s="1251"/>
      <c r="E57" s="1251"/>
      <c r="F57" s="1569"/>
      <c r="G57" s="1195"/>
      <c r="H57" s="1190"/>
      <c r="I57" s="1190"/>
      <c r="J57" s="1192"/>
      <c r="K57" s="1557"/>
      <c r="L57" s="1551"/>
      <c r="M57" s="1205"/>
      <c r="N57" s="1205"/>
      <c r="O57" s="1188"/>
    </row>
    <row r="58" spans="1:17" ht="19.899999999999999" customHeight="1">
      <c r="A58" s="1229">
        <v>15</v>
      </c>
      <c r="B58" s="1195"/>
      <c r="C58" s="110" t="e">
        <f>VLOOKUP(B58,'ships name'!A:C,2,FALSE)</f>
        <v>#N/A</v>
      </c>
      <c r="D58" s="1195"/>
      <c r="E58" s="1195"/>
      <c r="F58" s="1505"/>
      <c r="G58" s="1195"/>
      <c r="H58" s="1190">
        <f>H56+7</f>
        <v>42835</v>
      </c>
      <c r="I58" s="1205">
        <f>H58+1</f>
        <v>42836</v>
      </c>
      <c r="J58" s="1188">
        <f>J56+7</f>
        <v>42838</v>
      </c>
      <c r="K58" s="1556">
        <f>J58+7</f>
        <v>42845</v>
      </c>
      <c r="L58" s="1550">
        <f>J58+29</f>
        <v>42867</v>
      </c>
      <c r="M58" s="1212">
        <f>J58+33</f>
        <v>42871</v>
      </c>
      <c r="N58" s="1212">
        <f>J58+37</f>
        <v>42875</v>
      </c>
      <c r="O58" s="1295">
        <f>J58+27</f>
        <v>42865</v>
      </c>
    </row>
    <row r="59" spans="1:17" ht="19.899999999999999" customHeight="1">
      <c r="A59" s="1226"/>
      <c r="B59" s="1195"/>
      <c r="C59" s="109" t="e">
        <f>VLOOKUP(B58,'ships name'!A:C,3,FALSE)</f>
        <v>#N/A</v>
      </c>
      <c r="D59" s="1195"/>
      <c r="E59" s="1195"/>
      <c r="F59" s="1195"/>
      <c r="G59" s="1195"/>
      <c r="H59" s="1190"/>
      <c r="I59" s="1190"/>
      <c r="J59" s="1192"/>
      <c r="K59" s="1557"/>
      <c r="L59" s="1551"/>
      <c r="M59" s="1205"/>
      <c r="N59" s="1205"/>
      <c r="O59" s="1188"/>
    </row>
    <row r="60" spans="1:17" ht="19.899999999999999" customHeight="1">
      <c r="A60" s="1229">
        <v>16</v>
      </c>
      <c r="B60" s="1195"/>
      <c r="C60" s="110" t="e">
        <f>VLOOKUP(B60,'ships name'!A:C,2,FALSE)</f>
        <v>#N/A</v>
      </c>
      <c r="D60" s="1195"/>
      <c r="E60" s="1195"/>
      <c r="F60" s="1505"/>
      <c r="G60" s="1195"/>
      <c r="H60" s="1190">
        <f>H58+7</f>
        <v>42842</v>
      </c>
      <c r="I60" s="1205">
        <f>H60+1</f>
        <v>42843</v>
      </c>
      <c r="J60" s="1188">
        <f>J58+7</f>
        <v>42845</v>
      </c>
      <c r="K60" s="1556">
        <f>J60+7</f>
        <v>42852</v>
      </c>
      <c r="L60" s="1550">
        <f>J60+29</f>
        <v>42874</v>
      </c>
      <c r="M60" s="1212">
        <f>J60+33</f>
        <v>42878</v>
      </c>
      <c r="N60" s="1212">
        <f>J60+37</f>
        <v>42882</v>
      </c>
      <c r="O60" s="1295">
        <f>J60+27</f>
        <v>42872</v>
      </c>
    </row>
    <row r="61" spans="1:17" ht="19.899999999999999" customHeight="1">
      <c r="A61" s="1226"/>
      <c r="B61" s="1195"/>
      <c r="C61" s="109" t="e">
        <f>VLOOKUP(B60,'ships name'!A:C,3,FALSE)</f>
        <v>#N/A</v>
      </c>
      <c r="D61" s="1195"/>
      <c r="E61" s="1195"/>
      <c r="F61" s="1195"/>
      <c r="G61" s="1195"/>
      <c r="H61" s="1190"/>
      <c r="I61" s="1190"/>
      <c r="J61" s="1192"/>
      <c r="K61" s="1557"/>
      <c r="L61" s="1551"/>
      <c r="M61" s="1205"/>
      <c r="N61" s="1205"/>
      <c r="O61" s="1188"/>
    </row>
    <row r="62" spans="1:17" ht="19.899999999999999" customHeight="1">
      <c r="A62" s="1229">
        <v>17</v>
      </c>
      <c r="B62" s="1195"/>
      <c r="C62" s="110" t="e">
        <f>VLOOKUP(B62,'ships name'!A:C,2,FALSE)</f>
        <v>#N/A</v>
      </c>
      <c r="D62" s="1195"/>
      <c r="E62" s="1195"/>
      <c r="F62" s="1505"/>
      <c r="G62" s="1195"/>
      <c r="H62" s="1190">
        <f>H60+7</f>
        <v>42849</v>
      </c>
      <c r="I62" s="1205">
        <f>H62+1</f>
        <v>42850</v>
      </c>
      <c r="J62" s="1188">
        <f>J60+7</f>
        <v>42852</v>
      </c>
      <c r="K62" s="1556">
        <f>J62+7</f>
        <v>42859</v>
      </c>
      <c r="L62" s="1550">
        <f>J62+29</f>
        <v>42881</v>
      </c>
      <c r="M62" s="1212">
        <f>J62+33</f>
        <v>42885</v>
      </c>
      <c r="N62" s="1212">
        <f>J62+37</f>
        <v>42889</v>
      </c>
      <c r="O62" s="1295">
        <f>J62+27</f>
        <v>42879</v>
      </c>
    </row>
    <row r="63" spans="1:17" ht="19.899999999999999" customHeight="1">
      <c r="A63" s="1226"/>
      <c r="B63" s="1195"/>
      <c r="C63" s="109" t="e">
        <f>VLOOKUP(B62,'ships name'!A:C,3,FALSE)</f>
        <v>#N/A</v>
      </c>
      <c r="D63" s="1195"/>
      <c r="E63" s="1195"/>
      <c r="F63" s="1195"/>
      <c r="G63" s="1195"/>
      <c r="H63" s="1190"/>
      <c r="I63" s="1190"/>
      <c r="J63" s="1192"/>
      <c r="K63" s="1557"/>
      <c r="L63" s="1551"/>
      <c r="M63" s="1205"/>
      <c r="N63" s="1205"/>
      <c r="O63" s="1188"/>
    </row>
    <row r="64" spans="1:17" ht="19.899999999999999" customHeight="1">
      <c r="A64" s="1229">
        <v>18</v>
      </c>
      <c r="B64" s="1195"/>
      <c r="C64" s="110" t="e">
        <f>VLOOKUP(B64,'ships name'!A:C,2,FALSE)</f>
        <v>#N/A</v>
      </c>
      <c r="D64" s="1233"/>
      <c r="E64" s="1233"/>
      <c r="F64" s="1505"/>
      <c r="G64" s="1195"/>
      <c r="H64" s="1190">
        <f>H62+7</f>
        <v>42856</v>
      </c>
      <c r="I64" s="1190">
        <f>H64+1</f>
        <v>42857</v>
      </c>
      <c r="J64" s="1192">
        <f>J62+7</f>
        <v>42859</v>
      </c>
      <c r="K64" s="1556">
        <f>J64+7</f>
        <v>42866</v>
      </c>
      <c r="L64" s="1550">
        <f>J64+29</f>
        <v>42888</v>
      </c>
      <c r="M64" s="1212">
        <f>J64+33</f>
        <v>42892</v>
      </c>
      <c r="N64" s="1212">
        <f>J64+37</f>
        <v>42896</v>
      </c>
      <c r="O64" s="1295">
        <f>J64+27</f>
        <v>42886</v>
      </c>
    </row>
    <row r="65" spans="1:16" ht="19.899999999999999" customHeight="1" thickBot="1">
      <c r="A65" s="1226"/>
      <c r="B65" s="1191"/>
      <c r="C65" s="111" t="e">
        <f>VLOOKUP(B64,'ships name'!A:C,3,FALSE)</f>
        <v>#N/A</v>
      </c>
      <c r="D65" s="1191"/>
      <c r="E65" s="1191"/>
      <c r="F65" s="1191"/>
      <c r="G65" s="1191"/>
      <c r="H65" s="1475"/>
      <c r="I65" s="1475"/>
      <c r="J65" s="1194"/>
      <c r="K65" s="1557"/>
      <c r="L65" s="1551"/>
      <c r="M65" s="1205"/>
      <c r="N65" s="1205"/>
      <c r="O65" s="1188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71" t="s">
        <v>375</v>
      </c>
      <c r="B67" s="1572"/>
      <c r="C67" s="1572"/>
      <c r="D67" s="1560" t="s">
        <v>3086</v>
      </c>
      <c r="E67" s="1182"/>
      <c r="F67" s="1182"/>
      <c r="G67" s="1182"/>
      <c r="H67" s="1560" t="s">
        <v>3087</v>
      </c>
      <c r="I67" s="1182"/>
      <c r="J67" s="1182"/>
      <c r="K67" s="143"/>
      <c r="L67" s="1176" t="s">
        <v>2</v>
      </c>
      <c r="M67" s="1170"/>
      <c r="N67" s="1170"/>
      <c r="O67" s="1170"/>
      <c r="P67" s="164"/>
    </row>
    <row r="68" spans="1:16" ht="19.899999999999999" customHeight="1">
      <c r="A68" s="1094" t="s">
        <v>3</v>
      </c>
      <c r="B68" s="1096" t="s">
        <v>4</v>
      </c>
      <c r="C68" s="1096" t="s">
        <v>5</v>
      </c>
      <c r="D68" s="1096" t="s">
        <v>6</v>
      </c>
      <c r="E68" s="1096"/>
      <c r="F68" s="1096"/>
      <c r="G68" s="1096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094"/>
      <c r="B69" s="1096"/>
      <c r="C69" s="1096"/>
      <c r="D69" s="1096" t="s">
        <v>121</v>
      </c>
      <c r="E69" s="1561" t="s">
        <v>376</v>
      </c>
      <c r="F69" s="1096" t="s">
        <v>122</v>
      </c>
      <c r="G69" s="1561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516"/>
      <c r="B70" s="1501"/>
      <c r="C70" s="1501"/>
      <c r="D70" s="1501"/>
      <c r="E70" s="1562"/>
      <c r="F70" s="1501"/>
      <c r="G70" s="1562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29">
        <f>A41</f>
        <v>14</v>
      </c>
      <c r="B71" s="1232" t="s">
        <v>380</v>
      </c>
      <c r="C71" s="108" t="str">
        <f>VLOOKUP(B71,'ships name'!A:C,2,FALSE)</f>
        <v>THALASSA MANA</v>
      </c>
      <c r="D71" s="1566"/>
      <c r="E71" s="1563" t="s">
        <v>29</v>
      </c>
      <c r="F71" s="1566" t="s">
        <v>367</v>
      </c>
      <c r="G71" s="1563"/>
      <c r="H71" s="1205">
        <f>I71-1</f>
        <v>42827</v>
      </c>
      <c r="I71" s="1205">
        <f>J71-1</f>
        <v>42828</v>
      </c>
      <c r="J71" s="1188">
        <v>42829</v>
      </c>
      <c r="K71" s="1556">
        <f>J71+12</f>
        <v>42841</v>
      </c>
      <c r="L71" s="1545">
        <f>J71+32</f>
        <v>42861</v>
      </c>
      <c r="M71" s="1545">
        <f>J71+35</f>
        <v>42864</v>
      </c>
      <c r="N71" s="1545">
        <f>J71+29</f>
        <v>42858</v>
      </c>
      <c r="O71" s="1549"/>
      <c r="P71" s="1374"/>
    </row>
    <row r="72" spans="1:16" ht="21" customHeight="1">
      <c r="A72" s="1226"/>
      <c r="B72" s="1195"/>
      <c r="C72" s="109" t="str">
        <f>VLOOKUP(B71,'ships name'!A:C,3,FALSE)</f>
        <v xml:space="preserve"> </v>
      </c>
      <c r="D72" s="1195"/>
      <c r="E72" s="1510"/>
      <c r="F72" s="1195"/>
      <c r="G72" s="1510"/>
      <c r="H72" s="1190"/>
      <c r="I72" s="1190"/>
      <c r="J72" s="1192"/>
      <c r="K72" s="1557"/>
      <c r="L72" s="1205"/>
      <c r="M72" s="1205"/>
      <c r="N72" s="1205"/>
      <c r="O72" s="1492"/>
      <c r="P72" s="1374"/>
    </row>
    <row r="73" spans="1:16" ht="21" customHeight="1">
      <c r="A73" s="1573" t="str">
        <f>A43</f>
        <v>15</v>
      </c>
      <c r="B73" s="1233" t="s">
        <v>381</v>
      </c>
      <c r="C73" s="110" t="e">
        <f>VLOOKUP(B73,'ships name'!A:C,2,FALSE)</f>
        <v>#N/A</v>
      </c>
      <c r="D73" s="1505"/>
      <c r="E73" s="1564"/>
      <c r="F73" s="1505" t="s">
        <v>382</v>
      </c>
      <c r="G73" s="1564"/>
      <c r="H73" s="1205">
        <f>I73-1</f>
        <v>42834</v>
      </c>
      <c r="I73" s="1205">
        <f t="shared" ref="I73:N73" si="0">I71+7</f>
        <v>42835</v>
      </c>
      <c r="J73" s="1188">
        <f t="shared" si="0"/>
        <v>42836</v>
      </c>
      <c r="K73" s="1556">
        <f>J73+12</f>
        <v>42848</v>
      </c>
      <c r="L73" s="1212">
        <f t="shared" si="0"/>
        <v>42868</v>
      </c>
      <c r="M73" s="1212">
        <f t="shared" si="0"/>
        <v>42871</v>
      </c>
      <c r="N73" s="1212">
        <f t="shared" si="0"/>
        <v>42865</v>
      </c>
      <c r="O73" s="1355"/>
      <c r="P73" s="1374"/>
    </row>
    <row r="74" spans="1:16" ht="21" customHeight="1">
      <c r="A74" s="1226"/>
      <c r="B74" s="1195"/>
      <c r="C74" s="109" t="e">
        <f>VLOOKUP(B73,'ships name'!A:C,3,FALSE)</f>
        <v>#N/A</v>
      </c>
      <c r="D74" s="1195"/>
      <c r="E74" s="1510"/>
      <c r="F74" s="1195"/>
      <c r="G74" s="1510"/>
      <c r="H74" s="1190"/>
      <c r="I74" s="1190"/>
      <c r="J74" s="1192"/>
      <c r="K74" s="1557"/>
      <c r="L74" s="1205"/>
      <c r="M74" s="1205"/>
      <c r="N74" s="1205"/>
      <c r="O74" s="1492"/>
      <c r="P74" s="1374"/>
    </row>
    <row r="75" spans="1:16" ht="21" customHeight="1">
      <c r="A75" s="1573" t="str">
        <f>A45</f>
        <v>16</v>
      </c>
      <c r="B75" s="1195" t="s">
        <v>3153</v>
      </c>
      <c r="C75" s="110" t="str">
        <f>VLOOKUP(B75,'ships name'!A:C,2,FALSE)</f>
        <v>TO BE ADVISED</v>
      </c>
      <c r="D75" s="1569"/>
      <c r="E75" s="1564"/>
      <c r="F75" s="1505"/>
      <c r="G75" s="1565"/>
      <c r="H75" s="1205">
        <f>I75-1</f>
        <v>42841</v>
      </c>
      <c r="I75" s="1205">
        <f t="shared" ref="I75:N75" si="1">I73+7</f>
        <v>42842</v>
      </c>
      <c r="J75" s="1188">
        <f t="shared" si="1"/>
        <v>42843</v>
      </c>
      <c r="K75" s="1556">
        <f>J75+12</f>
        <v>42855</v>
      </c>
      <c r="L75" s="1212">
        <f t="shared" si="1"/>
        <v>42875</v>
      </c>
      <c r="M75" s="1212">
        <f t="shared" si="1"/>
        <v>42878</v>
      </c>
      <c r="N75" s="1212">
        <f t="shared" si="1"/>
        <v>42872</v>
      </c>
      <c r="O75" s="1355"/>
      <c r="P75" s="1374"/>
    </row>
    <row r="76" spans="1:16" ht="21" customHeight="1">
      <c r="A76" s="1226"/>
      <c r="B76" s="1195"/>
      <c r="C76" s="109" t="str">
        <f>VLOOKUP(B75,'ships name'!A:C,3,FALSE)</f>
        <v>TO BE ADVISED</v>
      </c>
      <c r="D76" s="1195"/>
      <c r="E76" s="1510"/>
      <c r="F76" s="1195"/>
      <c r="G76" s="1510"/>
      <c r="H76" s="1190"/>
      <c r="I76" s="1190"/>
      <c r="J76" s="1192"/>
      <c r="K76" s="1557"/>
      <c r="L76" s="1205"/>
      <c r="M76" s="1205"/>
      <c r="N76" s="1205"/>
      <c r="O76" s="1492"/>
      <c r="P76" s="1374"/>
    </row>
    <row r="77" spans="1:16" ht="21" customHeight="1">
      <c r="A77" s="1573" t="str">
        <f>A47</f>
        <v>17</v>
      </c>
      <c r="B77" s="1195" t="s">
        <v>383</v>
      </c>
      <c r="C77" s="110" t="str">
        <f>VLOOKUP(B77,'ships name'!A:C,2,FALSE)</f>
        <v>TRITON</v>
      </c>
      <c r="D77" s="1505"/>
      <c r="E77" s="1564"/>
      <c r="F77" s="1505" t="s">
        <v>384</v>
      </c>
      <c r="G77" s="1564"/>
      <c r="H77" s="1205">
        <f>I77-1</f>
        <v>42848</v>
      </c>
      <c r="I77" s="1205">
        <f t="shared" ref="I77:N77" si="2">I75+7</f>
        <v>42849</v>
      </c>
      <c r="J77" s="1188">
        <f t="shared" si="2"/>
        <v>42850</v>
      </c>
      <c r="K77" s="1556">
        <f>J77+12</f>
        <v>42862</v>
      </c>
      <c r="L77" s="1212">
        <f t="shared" si="2"/>
        <v>42882</v>
      </c>
      <c r="M77" s="1212">
        <f t="shared" si="2"/>
        <v>42885</v>
      </c>
      <c r="N77" s="1212">
        <f t="shared" si="2"/>
        <v>42879</v>
      </c>
      <c r="O77" s="1355"/>
      <c r="P77" s="1374"/>
    </row>
    <row r="78" spans="1:16" ht="21" customHeight="1">
      <c r="A78" s="1226"/>
      <c r="B78" s="1195"/>
      <c r="C78" s="109" t="str">
        <f>VLOOKUP(B77,'ships name'!A:C,3,FALSE)</f>
        <v xml:space="preserve"> </v>
      </c>
      <c r="D78" s="1195"/>
      <c r="E78" s="1510"/>
      <c r="F78" s="1195"/>
      <c r="G78" s="1510"/>
      <c r="H78" s="1190"/>
      <c r="I78" s="1190"/>
      <c r="J78" s="1192"/>
      <c r="K78" s="1557"/>
      <c r="L78" s="1205"/>
      <c r="M78" s="1205"/>
      <c r="N78" s="1205"/>
      <c r="O78" s="1492"/>
      <c r="P78" s="1374"/>
    </row>
    <row r="79" spans="1:16" ht="21" customHeight="1">
      <c r="A79" s="1573" t="str">
        <f>A49</f>
        <v>18</v>
      </c>
      <c r="B79" s="1195" t="s">
        <v>385</v>
      </c>
      <c r="C79" s="110" t="str">
        <f>VLOOKUP(B79,'ships name'!A:C,2,FALSE)</f>
        <v>THALASSA PATRIS</v>
      </c>
      <c r="D79" s="1505"/>
      <c r="E79" s="1510"/>
      <c r="F79" s="1505" t="s">
        <v>386</v>
      </c>
      <c r="G79" s="1510"/>
      <c r="H79" s="1190">
        <f>I79-1</f>
        <v>42855</v>
      </c>
      <c r="I79" s="1190">
        <f t="shared" ref="I79:N79" si="3">I77+7</f>
        <v>42856</v>
      </c>
      <c r="J79" s="1192">
        <f t="shared" si="3"/>
        <v>42857</v>
      </c>
      <c r="K79" s="1556">
        <f>J79+12</f>
        <v>42869</v>
      </c>
      <c r="L79" s="1212">
        <f t="shared" si="3"/>
        <v>42889</v>
      </c>
      <c r="M79" s="1212">
        <f t="shared" si="3"/>
        <v>42892</v>
      </c>
      <c r="N79" s="1212">
        <f t="shared" si="3"/>
        <v>42886</v>
      </c>
      <c r="O79" s="1355"/>
      <c r="P79" s="1374"/>
    </row>
    <row r="80" spans="1:16" ht="21" customHeight="1" thickBot="1">
      <c r="A80" s="1226"/>
      <c r="B80" s="1191"/>
      <c r="C80" s="111" t="str">
        <f>VLOOKUP(B79,'ships name'!A:C,3,FALSE)</f>
        <v xml:space="preserve"> </v>
      </c>
      <c r="D80" s="1191"/>
      <c r="E80" s="1570"/>
      <c r="F80" s="1191"/>
      <c r="G80" s="1570"/>
      <c r="H80" s="1475"/>
      <c r="I80" s="1475"/>
      <c r="J80" s="1194"/>
      <c r="K80" s="1557"/>
      <c r="L80" s="1126"/>
      <c r="M80" s="1126"/>
      <c r="N80" s="1126"/>
      <c r="O80" s="1496"/>
      <c r="P80" s="1374"/>
    </row>
    <row r="81" spans="1:17" ht="19.899999999999999" customHeight="1" thickBot="1">
      <c r="A81" s="1571" t="s">
        <v>387</v>
      </c>
      <c r="B81" s="1572"/>
      <c r="C81" s="1572"/>
      <c r="D81" s="1560" t="s">
        <v>3085</v>
      </c>
      <c r="E81" s="1182"/>
      <c r="F81" s="1182"/>
      <c r="G81" s="1182"/>
      <c r="H81" s="1560" t="s">
        <v>3084</v>
      </c>
      <c r="I81" s="1182"/>
      <c r="J81" s="1182"/>
      <c r="K81" s="143" t="s">
        <v>29</v>
      </c>
      <c r="L81" s="1176" t="s">
        <v>2</v>
      </c>
      <c r="M81" s="1170"/>
      <c r="N81" s="1170"/>
      <c r="O81" s="1170"/>
      <c r="P81" s="164"/>
    </row>
    <row r="82" spans="1:17" ht="19.899999999999999" customHeight="1">
      <c r="A82" s="1094" t="s">
        <v>3</v>
      </c>
      <c r="B82" s="1096" t="s">
        <v>4</v>
      </c>
      <c r="C82" s="1096" t="s">
        <v>5</v>
      </c>
      <c r="D82" s="1096" t="s">
        <v>6</v>
      </c>
      <c r="E82" s="1096"/>
      <c r="F82" s="1096"/>
      <c r="G82" s="1096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094"/>
      <c r="B83" s="1096"/>
      <c r="C83" s="1096"/>
      <c r="D83" s="1096" t="s">
        <v>121</v>
      </c>
      <c r="E83" s="1561" t="s">
        <v>29</v>
      </c>
      <c r="F83" s="1096" t="s">
        <v>122</v>
      </c>
      <c r="G83" s="1561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516"/>
      <c r="B84" s="1501"/>
      <c r="C84" s="1501"/>
      <c r="D84" s="1501"/>
      <c r="E84" s="1562"/>
      <c r="F84" s="1501"/>
      <c r="G84" s="1562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29">
        <f>A71</f>
        <v>14</v>
      </c>
      <c r="B85" s="1232" t="s">
        <v>391</v>
      </c>
      <c r="C85" s="108" t="str">
        <f>VLOOKUP(B85,'ships name'!A:C,2,FALSE)</f>
        <v>CSCL URANUS</v>
      </c>
      <c r="D85" s="1566"/>
      <c r="E85" s="1563" t="s">
        <v>29</v>
      </c>
      <c r="F85" s="1566" t="s">
        <v>392</v>
      </c>
      <c r="G85" s="1563"/>
      <c r="H85" s="1205">
        <f>I85-1</f>
        <v>42825</v>
      </c>
      <c r="I85" s="1205">
        <f>J85-1</f>
        <v>42826</v>
      </c>
      <c r="J85" s="1188">
        <v>42827</v>
      </c>
      <c r="K85" s="1556">
        <f>J85+12</f>
        <v>42839</v>
      </c>
      <c r="L85" s="1545">
        <f>J85+39</f>
        <v>42866</v>
      </c>
      <c r="M85" s="1545">
        <f>J85+42</f>
        <v>42869</v>
      </c>
      <c r="N85" s="1545">
        <f>J85+44</f>
        <v>42871</v>
      </c>
      <c r="O85" s="1545">
        <f>J85+26</f>
        <v>42853</v>
      </c>
      <c r="P85" s="1545">
        <f>J85+34</f>
        <v>42861</v>
      </c>
      <c r="Q85" s="1545">
        <f>J85+36</f>
        <v>42863</v>
      </c>
    </row>
    <row r="86" spans="1:17" ht="21" customHeight="1">
      <c r="A86" s="1226"/>
      <c r="B86" s="1195"/>
      <c r="C86" s="109" t="str">
        <f>VLOOKUP(B85,'ships name'!A:C,3,FALSE)</f>
        <v>中海天王星</v>
      </c>
      <c r="D86" s="1195"/>
      <c r="E86" s="1510"/>
      <c r="F86" s="1195"/>
      <c r="G86" s="1510"/>
      <c r="H86" s="1190"/>
      <c r="I86" s="1190"/>
      <c r="J86" s="1192"/>
      <c r="K86" s="1557"/>
      <c r="L86" s="1205"/>
      <c r="M86" s="1205"/>
      <c r="N86" s="1205"/>
      <c r="O86" s="1205"/>
      <c r="P86" s="1205"/>
      <c r="Q86" s="1205"/>
    </row>
    <row r="87" spans="1:17" ht="21" customHeight="1">
      <c r="A87" s="1573" t="str">
        <f>A73</f>
        <v>15</v>
      </c>
      <c r="B87" s="1233" t="s">
        <v>393</v>
      </c>
      <c r="C87" s="110" t="str">
        <f>VLOOKUP(B87,'ships name'!A:C,2,FALSE)</f>
        <v xml:space="preserve">TALOS </v>
      </c>
      <c r="D87" s="1505"/>
      <c r="E87" s="1564"/>
      <c r="F87" s="1505" t="s">
        <v>394</v>
      </c>
      <c r="G87" s="1564"/>
      <c r="H87" s="1205">
        <f>I87-1</f>
        <v>42832</v>
      </c>
      <c r="I87" s="1205">
        <f t="shared" ref="I87:N87" si="4">I85+7</f>
        <v>42833</v>
      </c>
      <c r="J87" s="1188">
        <f t="shared" si="4"/>
        <v>42834</v>
      </c>
      <c r="K87" s="1556">
        <f>J87+12</f>
        <v>42846</v>
      </c>
      <c r="L87" s="1212">
        <f t="shared" si="4"/>
        <v>42873</v>
      </c>
      <c r="M87" s="1212">
        <f t="shared" si="4"/>
        <v>42876</v>
      </c>
      <c r="N87" s="1212">
        <f t="shared" si="4"/>
        <v>42878</v>
      </c>
      <c r="O87" s="1212">
        <f>J87+26</f>
        <v>42860</v>
      </c>
      <c r="P87" s="1212">
        <f>J87+34</f>
        <v>42868</v>
      </c>
      <c r="Q87" s="1212">
        <f>J87+36</f>
        <v>42870</v>
      </c>
    </row>
    <row r="88" spans="1:17" ht="21" customHeight="1">
      <c r="A88" s="1226"/>
      <c r="B88" s="1195"/>
      <c r="C88" s="109" t="str">
        <f>VLOOKUP(B87,'ships name'!A:C,3,FALSE)</f>
        <v xml:space="preserve"> </v>
      </c>
      <c r="D88" s="1195"/>
      <c r="E88" s="1510"/>
      <c r="F88" s="1195"/>
      <c r="G88" s="1510"/>
      <c r="H88" s="1190"/>
      <c r="I88" s="1190"/>
      <c r="J88" s="1192"/>
      <c r="K88" s="1557"/>
      <c r="L88" s="1205"/>
      <c r="M88" s="1205"/>
      <c r="N88" s="1205"/>
      <c r="O88" s="1205"/>
      <c r="P88" s="1205"/>
      <c r="Q88" s="1205"/>
    </row>
    <row r="89" spans="1:17" ht="21" customHeight="1">
      <c r="A89" s="1573" t="str">
        <f>A75</f>
        <v>16</v>
      </c>
      <c r="B89" s="1195" t="s">
        <v>395</v>
      </c>
      <c r="C89" s="110" t="str">
        <f>VLOOKUP(B89,'ships name'!A:C,2,FALSE)</f>
        <v xml:space="preserve">THALASSA AVRA </v>
      </c>
      <c r="D89" s="1569"/>
      <c r="E89" s="1564"/>
      <c r="F89" s="1505">
        <v>101</v>
      </c>
      <c r="G89" s="1565"/>
      <c r="H89" s="1205">
        <f>I89-1</f>
        <v>42839</v>
      </c>
      <c r="I89" s="1205">
        <f t="shared" ref="I89:N89" si="5">I87+7</f>
        <v>42840</v>
      </c>
      <c r="J89" s="1188">
        <f t="shared" si="5"/>
        <v>42841</v>
      </c>
      <c r="K89" s="1556">
        <f>J89+12</f>
        <v>42853</v>
      </c>
      <c r="L89" s="1212">
        <f t="shared" si="5"/>
        <v>42880</v>
      </c>
      <c r="M89" s="1212">
        <f t="shared" si="5"/>
        <v>42883</v>
      </c>
      <c r="N89" s="1212">
        <f t="shared" si="5"/>
        <v>42885</v>
      </c>
      <c r="O89" s="1212">
        <f>J89+26</f>
        <v>42867</v>
      </c>
      <c r="P89" s="1212">
        <f>J89+34</f>
        <v>42875</v>
      </c>
      <c r="Q89" s="1212">
        <f>J89+36</f>
        <v>42877</v>
      </c>
    </row>
    <row r="90" spans="1:17" ht="21" customHeight="1">
      <c r="A90" s="1226"/>
      <c r="B90" s="1195"/>
      <c r="C90" s="109" t="str">
        <f>VLOOKUP(B89,'ships name'!A:C,3,FALSE)</f>
        <v xml:space="preserve"> </v>
      </c>
      <c r="D90" s="1195"/>
      <c r="E90" s="1510"/>
      <c r="F90" s="1195"/>
      <c r="G90" s="1510"/>
      <c r="H90" s="1190"/>
      <c r="I90" s="1190"/>
      <c r="J90" s="1192"/>
      <c r="K90" s="1557"/>
      <c r="L90" s="1205"/>
      <c r="M90" s="1205"/>
      <c r="N90" s="1205"/>
      <c r="O90" s="1205"/>
      <c r="P90" s="1205"/>
      <c r="Q90" s="1205"/>
    </row>
    <row r="91" spans="1:17" ht="21" customHeight="1">
      <c r="A91" s="1573" t="str">
        <f>A77</f>
        <v>17</v>
      </c>
      <c r="B91" s="1195" t="s">
        <v>396</v>
      </c>
      <c r="C91" s="110" t="str">
        <f>VLOOKUP(B91,'ships name'!A:C,2,FALSE)</f>
        <v xml:space="preserve">CSCL JUPITER </v>
      </c>
      <c r="D91" s="1505"/>
      <c r="E91" s="1564"/>
      <c r="F91" s="1505">
        <v>103</v>
      </c>
      <c r="G91" s="1564"/>
      <c r="H91" s="1205">
        <f>I91-1</f>
        <v>42846</v>
      </c>
      <c r="I91" s="1205">
        <f t="shared" ref="I91:N91" si="6">I89+7</f>
        <v>42847</v>
      </c>
      <c r="J91" s="1188">
        <f t="shared" si="6"/>
        <v>42848</v>
      </c>
      <c r="K91" s="1556">
        <f>J91+12</f>
        <v>42860</v>
      </c>
      <c r="L91" s="1212">
        <f t="shared" si="6"/>
        <v>42887</v>
      </c>
      <c r="M91" s="1212">
        <f t="shared" si="6"/>
        <v>42890</v>
      </c>
      <c r="N91" s="1212">
        <f t="shared" si="6"/>
        <v>42892</v>
      </c>
      <c r="O91" s="1212">
        <f>J91+26</f>
        <v>42874</v>
      </c>
      <c r="P91" s="1212">
        <f>J91+34</f>
        <v>42882</v>
      </c>
      <c r="Q91" s="1212">
        <f>J91+36</f>
        <v>42884</v>
      </c>
    </row>
    <row r="92" spans="1:17" ht="21" customHeight="1">
      <c r="A92" s="1226"/>
      <c r="B92" s="1195"/>
      <c r="C92" s="109" t="str">
        <f>VLOOKUP(B91,'ships name'!A:C,3,FALSE)</f>
        <v>中海木星</v>
      </c>
      <c r="D92" s="1195"/>
      <c r="E92" s="1510"/>
      <c r="F92" s="1195"/>
      <c r="G92" s="1510"/>
      <c r="H92" s="1190"/>
      <c r="I92" s="1190"/>
      <c r="J92" s="1192"/>
      <c r="K92" s="1557"/>
      <c r="L92" s="1205"/>
      <c r="M92" s="1205"/>
      <c r="N92" s="1205"/>
      <c r="O92" s="1205"/>
      <c r="P92" s="1205"/>
      <c r="Q92" s="1205"/>
    </row>
    <row r="93" spans="1:17" ht="21" customHeight="1">
      <c r="A93" s="1573" t="str">
        <f>A79</f>
        <v>18</v>
      </c>
      <c r="B93" s="1195" t="s">
        <v>397</v>
      </c>
      <c r="C93" s="110" t="str">
        <f>VLOOKUP(B93,'ships name'!A:C,2,FALSE)</f>
        <v xml:space="preserve">TOKYO TRIUMPH </v>
      </c>
      <c r="D93" s="1505"/>
      <c r="E93" s="1510"/>
      <c r="F93" s="1505">
        <v>105</v>
      </c>
      <c r="G93" s="1510"/>
      <c r="H93" s="1190">
        <f>I93-1</f>
        <v>42853</v>
      </c>
      <c r="I93" s="1190">
        <f t="shared" ref="I93:N93" si="7">I91+7</f>
        <v>42854</v>
      </c>
      <c r="J93" s="1192">
        <f t="shared" si="7"/>
        <v>42855</v>
      </c>
      <c r="K93" s="1556">
        <f>J93+12</f>
        <v>42867</v>
      </c>
      <c r="L93" s="1212">
        <f t="shared" si="7"/>
        <v>42894</v>
      </c>
      <c r="M93" s="1212">
        <f t="shared" si="7"/>
        <v>42897</v>
      </c>
      <c r="N93" s="1212">
        <f t="shared" si="7"/>
        <v>42899</v>
      </c>
      <c r="O93" s="1212">
        <f>J93+26</f>
        <v>42881</v>
      </c>
      <c r="P93" s="1212">
        <f>J93+34</f>
        <v>42889</v>
      </c>
      <c r="Q93" s="1212">
        <f>J93+36</f>
        <v>42891</v>
      </c>
    </row>
    <row r="94" spans="1:17" ht="21" customHeight="1" thickBot="1">
      <c r="A94" s="1226"/>
      <c r="B94" s="1191"/>
      <c r="C94" s="111" t="str">
        <f>VLOOKUP(B93,'ships name'!A:C,3,FALSE)</f>
        <v xml:space="preserve"> </v>
      </c>
      <c r="D94" s="1191"/>
      <c r="E94" s="1570"/>
      <c r="F94" s="1191"/>
      <c r="G94" s="1570"/>
      <c r="H94" s="1475"/>
      <c r="I94" s="1475"/>
      <c r="J94" s="1194"/>
      <c r="K94" s="1557"/>
      <c r="L94" s="1126"/>
      <c r="M94" s="1126"/>
      <c r="N94" s="1126"/>
      <c r="O94" s="1126"/>
      <c r="P94" s="1126"/>
      <c r="Q94" s="1126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40" zoomScale="85" zoomScaleNormal="85" workbookViewId="0">
      <selection activeCell="J69" sqref="J69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36" t="s">
        <v>0</v>
      </c>
      <c r="B2" s="1536"/>
      <c r="C2" s="1536"/>
      <c r="D2" s="1536"/>
      <c r="E2" s="1536"/>
      <c r="F2" s="1536"/>
      <c r="G2" s="1536"/>
      <c r="H2" s="1536"/>
      <c r="I2" s="1536"/>
      <c r="J2" s="1536"/>
      <c r="K2" s="1536"/>
      <c r="L2" s="1536"/>
      <c r="M2" s="1536"/>
      <c r="N2" s="1536"/>
      <c r="O2" s="1536"/>
    </row>
    <row r="3" spans="1:17" ht="28.15" customHeight="1">
      <c r="A3" s="1606"/>
      <c r="B3" s="1606"/>
      <c r="C3" s="1606"/>
      <c r="D3" s="1606"/>
      <c r="E3" s="1606"/>
      <c r="F3" s="1606"/>
      <c r="G3" s="1606"/>
      <c r="H3" s="1606"/>
      <c r="I3" s="1606"/>
      <c r="J3" s="1606"/>
      <c r="K3" s="1606"/>
      <c r="L3" s="1606"/>
      <c r="M3" s="1606"/>
      <c r="N3" s="1606"/>
      <c r="O3" s="1606"/>
    </row>
    <row r="4" spans="1:17" ht="28.15" customHeight="1">
      <c r="A4" s="1536" t="str">
        <f>MED!A4</f>
        <v>2019年06月船期表</v>
      </c>
      <c r="B4" s="1536"/>
      <c r="C4" s="1536"/>
      <c r="D4" s="1536"/>
      <c r="E4" s="1536"/>
      <c r="F4" s="1536"/>
      <c r="G4" s="1536"/>
      <c r="H4" s="1536"/>
      <c r="I4" s="1536"/>
      <c r="J4" s="1536"/>
      <c r="K4" s="1536"/>
      <c r="L4" s="1536"/>
      <c r="M4" s="1536"/>
      <c r="N4" s="1536"/>
      <c r="O4" s="1536"/>
    </row>
    <row r="5" spans="1:17" ht="28.15" customHeight="1" thickBot="1"/>
    <row r="6" spans="1:17" ht="25.9" customHeight="1" thickBot="1">
      <c r="A6" s="1238" t="s">
        <v>326</v>
      </c>
      <c r="B6" s="1239"/>
      <c r="C6" s="1239"/>
      <c r="D6" s="507"/>
      <c r="E6" s="1525" t="s">
        <v>3214</v>
      </c>
      <c r="F6" s="1525"/>
      <c r="G6" s="1525"/>
      <c r="H6" s="1525" t="s">
        <v>3087</v>
      </c>
      <c r="I6" s="1525"/>
      <c r="J6" s="1526"/>
      <c r="K6" s="1598" t="s">
        <v>2</v>
      </c>
      <c r="L6" s="1599"/>
      <c r="M6" s="1599"/>
      <c r="N6" s="1599"/>
      <c r="O6" s="1599"/>
      <c r="P6" s="1599"/>
      <c r="Q6" s="1600"/>
    </row>
    <row r="7" spans="1:17" ht="19.899999999999999" customHeight="1">
      <c r="A7" s="1428" t="s">
        <v>3</v>
      </c>
      <c r="B7" s="1430" t="s">
        <v>4</v>
      </c>
      <c r="C7" s="1430" t="s">
        <v>5</v>
      </c>
      <c r="D7" s="1153" t="s">
        <v>4291</v>
      </c>
      <c r="E7" s="1154" t="s">
        <v>6</v>
      </c>
      <c r="F7" s="1155"/>
      <c r="G7" s="1156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28"/>
      <c r="B8" s="1430"/>
      <c r="C8" s="1430"/>
      <c r="D8" s="1097"/>
      <c r="E8" s="1243" t="s">
        <v>13</v>
      </c>
      <c r="F8" s="1453" t="s">
        <v>14</v>
      </c>
      <c r="G8" s="1454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29"/>
      <c r="B9" s="1431"/>
      <c r="C9" s="1431"/>
      <c r="D9" s="1098"/>
      <c r="E9" s="1223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>
        <v>23</v>
      </c>
      <c r="B10" s="493" t="s">
        <v>4867</v>
      </c>
      <c r="C10" s="493" t="str">
        <f>VLOOKUP(LEFT(B10,3),'ships name'!A:C,2,FALSE)</f>
        <v>APL TEMASEK</v>
      </c>
      <c r="D10" s="493" t="str">
        <f>VLOOKUP(LEFT(B10,3),'ships name'!A:C,3,FALSE)</f>
        <v xml:space="preserve"> </v>
      </c>
      <c r="E10" s="808" t="str">
        <f>F10</f>
        <v>0FL3RW</v>
      </c>
      <c r="F10" s="501" t="str">
        <f>LEFT(G10,6)</f>
        <v>0FL3RW</v>
      </c>
      <c r="G10" s="501" t="s">
        <v>4872</v>
      </c>
      <c r="H10" s="501">
        <f>I10-2</f>
        <v>43621</v>
      </c>
      <c r="I10" s="501">
        <f>J10</f>
        <v>43623</v>
      </c>
      <c r="J10" s="501">
        <v>43623</v>
      </c>
      <c r="K10" s="501">
        <f>J10+7</f>
        <v>43630</v>
      </c>
      <c r="L10" s="501">
        <f>J10+26</f>
        <v>43649</v>
      </c>
      <c r="M10" s="501">
        <f>J10+30</f>
        <v>43653</v>
      </c>
      <c r="N10" s="501">
        <f>M10+1</f>
        <v>43654</v>
      </c>
      <c r="O10" s="501">
        <f>N10+3</f>
        <v>43657</v>
      </c>
      <c r="P10" s="501">
        <f>O10+3</f>
        <v>43660</v>
      </c>
      <c r="Q10" s="501">
        <f>J10+41</f>
        <v>43664</v>
      </c>
    </row>
    <row r="11" spans="1:17" ht="23.25" customHeight="1">
      <c r="A11" s="788" t="str">
        <f>TEXT(A10+1,"00")</f>
        <v>24</v>
      </c>
      <c r="B11" s="499" t="s">
        <v>4868</v>
      </c>
      <c r="C11" s="499" t="str">
        <f>VLOOKUP(LEFT(B11,3),'ships name'!A:C,2,FALSE)</f>
        <v>CMA CGM KERGUELEN</v>
      </c>
      <c r="D11" s="499" t="str">
        <f>VLOOKUP(LEFT(B11,3),'ships name'!A:C,3,FALSE)</f>
        <v>达飞凯尔盖朗</v>
      </c>
      <c r="E11" s="808" t="str">
        <f t="shared" ref="E11:E14" si="0">F11</f>
        <v>0FL3TW</v>
      </c>
      <c r="F11" s="808" t="str">
        <f t="shared" ref="F11:F14" si="1">LEFT(G11,6)</f>
        <v>0FL3TW</v>
      </c>
      <c r="G11" s="487" t="s">
        <v>4873</v>
      </c>
      <c r="H11" s="487">
        <f>H10+7</f>
        <v>43628</v>
      </c>
      <c r="I11" s="487">
        <f>I10+7</f>
        <v>43630</v>
      </c>
      <c r="J11" s="487">
        <f>I11</f>
        <v>43630</v>
      </c>
      <c r="K11" s="487">
        <f>J11+7</f>
        <v>43637</v>
      </c>
      <c r="L11" s="802">
        <f t="shared" ref="L11:L14" si="2">J11+26</f>
        <v>43656</v>
      </c>
      <c r="M11" s="802">
        <f t="shared" ref="M11:M14" si="3">J11+30</f>
        <v>43660</v>
      </c>
      <c r="N11" s="802">
        <f t="shared" ref="N11:N14" si="4">M11+1</f>
        <v>43661</v>
      </c>
      <c r="O11" s="802">
        <f t="shared" ref="O11:O14" si="5">N11+3</f>
        <v>43664</v>
      </c>
      <c r="P11" s="487">
        <f>O11+3</f>
        <v>43667</v>
      </c>
      <c r="Q11" s="802">
        <f t="shared" ref="Q11:Q14" si="6">J11+41</f>
        <v>43671</v>
      </c>
    </row>
    <row r="12" spans="1:17" ht="23.25" customHeight="1">
      <c r="A12" s="788" t="str">
        <f>TEXT(A11+1,"00")</f>
        <v>25</v>
      </c>
      <c r="B12" s="499" t="s">
        <v>4869</v>
      </c>
      <c r="C12" s="499" t="str">
        <f>VLOOKUP(LEFT(B12,3),'ships name'!A:C,2,FALSE)</f>
        <v>CMA CGM JULES VERNE</v>
      </c>
      <c r="D12" s="499" t="str">
        <f>VLOOKUP(LEFT(B12,3),'ships name'!A:C,3,FALSE)</f>
        <v>达飞凡尔纳</v>
      </c>
      <c r="E12" s="808" t="str">
        <f t="shared" si="0"/>
        <v>0FL3VW</v>
      </c>
      <c r="F12" s="808" t="str">
        <f t="shared" si="1"/>
        <v>0FL3VW</v>
      </c>
      <c r="G12" s="487" t="s">
        <v>4874</v>
      </c>
      <c r="H12" s="487">
        <f>H11+7</f>
        <v>43635</v>
      </c>
      <c r="I12" s="487">
        <f>H12+2</f>
        <v>43637</v>
      </c>
      <c r="J12" s="487">
        <f>I12</f>
        <v>43637</v>
      </c>
      <c r="K12" s="487">
        <f>J12+7</f>
        <v>43644</v>
      </c>
      <c r="L12" s="802">
        <f t="shared" si="2"/>
        <v>43663</v>
      </c>
      <c r="M12" s="802">
        <f t="shared" si="3"/>
        <v>43667</v>
      </c>
      <c r="N12" s="802">
        <f t="shared" si="4"/>
        <v>43668</v>
      </c>
      <c r="O12" s="802">
        <f t="shared" si="5"/>
        <v>43671</v>
      </c>
      <c r="P12" s="487">
        <f>O12+3</f>
        <v>43674</v>
      </c>
      <c r="Q12" s="802">
        <f t="shared" si="6"/>
        <v>43678</v>
      </c>
    </row>
    <row r="13" spans="1:17" ht="23.25" customHeight="1">
      <c r="A13" s="788" t="str">
        <f>TEXT(A12+1,"00")</f>
        <v>26</v>
      </c>
      <c r="B13" s="499" t="s">
        <v>4870</v>
      </c>
      <c r="C13" s="499" t="str">
        <f>VLOOKUP(LEFT(B13,3),'ships name'!A:C,2,FALSE)</f>
        <v>CMA CGM ZHENG HE</v>
      </c>
      <c r="D13" s="499" t="str">
        <f>VLOOKUP(LEFT(B13,3),'ships name'!A:C,3,FALSE)</f>
        <v>达飞郑和</v>
      </c>
      <c r="E13" s="808" t="str">
        <f t="shared" si="0"/>
        <v>0FL3XW</v>
      </c>
      <c r="F13" s="808" t="str">
        <f t="shared" si="1"/>
        <v>0FL3XW</v>
      </c>
      <c r="G13" s="487" t="s">
        <v>4875</v>
      </c>
      <c r="H13" s="487">
        <f>H12+7</f>
        <v>43642</v>
      </c>
      <c r="I13" s="487">
        <f>H13+2</f>
        <v>43644</v>
      </c>
      <c r="J13" s="487">
        <f>I13</f>
        <v>43644</v>
      </c>
      <c r="K13" s="487">
        <f>J13+7</f>
        <v>43651</v>
      </c>
      <c r="L13" s="802">
        <f t="shared" si="2"/>
        <v>43670</v>
      </c>
      <c r="M13" s="802">
        <f t="shared" si="3"/>
        <v>43674</v>
      </c>
      <c r="N13" s="802">
        <f t="shared" si="4"/>
        <v>43675</v>
      </c>
      <c r="O13" s="802">
        <f t="shared" si="5"/>
        <v>43678</v>
      </c>
      <c r="P13" s="487">
        <f>O13+3</f>
        <v>43681</v>
      </c>
      <c r="Q13" s="802">
        <f t="shared" si="6"/>
        <v>43685</v>
      </c>
    </row>
    <row r="14" spans="1:17" ht="23.25" customHeight="1">
      <c r="A14" s="788" t="str">
        <f>TEXT(A13+1,"00")</f>
        <v>27</v>
      </c>
      <c r="B14" s="499" t="s">
        <v>4871</v>
      </c>
      <c r="C14" s="499" t="str">
        <f>VLOOKUP(LEFT(B14,3),'ships name'!A:C,2,FALSE)</f>
        <v>CMA CGM ANTOINE DE SAINT EXUPEY</v>
      </c>
      <c r="D14" s="499" t="str">
        <f>VLOOKUP(LEFT(B14,3),'ships name'!A:C,3,FALSE)</f>
        <v xml:space="preserve"> </v>
      </c>
      <c r="E14" s="808" t="str">
        <f t="shared" si="0"/>
        <v>0FL3ZW</v>
      </c>
      <c r="F14" s="808" t="str">
        <f t="shared" si="1"/>
        <v>0FL3ZW</v>
      </c>
      <c r="G14" s="487" t="s">
        <v>4876</v>
      </c>
      <c r="H14" s="487">
        <f>H13+7</f>
        <v>43649</v>
      </c>
      <c r="I14" s="487">
        <f>H14+2</f>
        <v>43651</v>
      </c>
      <c r="J14" s="487">
        <f>I14</f>
        <v>43651</v>
      </c>
      <c r="K14" s="487">
        <f>J14+7</f>
        <v>43658</v>
      </c>
      <c r="L14" s="802">
        <f t="shared" si="2"/>
        <v>43677</v>
      </c>
      <c r="M14" s="802">
        <f t="shared" si="3"/>
        <v>43681</v>
      </c>
      <c r="N14" s="802">
        <f t="shared" si="4"/>
        <v>43682</v>
      </c>
      <c r="O14" s="802">
        <f t="shared" si="5"/>
        <v>43685</v>
      </c>
      <c r="P14" s="487">
        <f>O14+3</f>
        <v>43688</v>
      </c>
      <c r="Q14" s="802">
        <f t="shared" si="6"/>
        <v>43692</v>
      </c>
    </row>
    <row r="15" spans="1:17" ht="28.15" customHeight="1" thickBot="1"/>
    <row r="16" spans="1:17" s="421" customFormat="1" ht="25.9" customHeight="1" thickBot="1">
      <c r="A16" s="1238" t="s">
        <v>346</v>
      </c>
      <c r="B16" s="1239"/>
      <c r="C16" s="1239"/>
      <c r="D16" s="507"/>
      <c r="E16" s="1525" t="s">
        <v>4056</v>
      </c>
      <c r="F16" s="1525"/>
      <c r="G16" s="1525"/>
      <c r="H16" s="1525" t="s">
        <v>152</v>
      </c>
      <c r="I16" s="1525"/>
      <c r="J16" s="1526"/>
      <c r="K16" s="1605" t="s">
        <v>2</v>
      </c>
      <c r="L16" s="1603"/>
      <c r="M16" s="1603"/>
      <c r="N16" s="1603"/>
      <c r="O16" s="1604"/>
    </row>
    <row r="17" spans="1:16" ht="19.899999999999999" customHeight="1">
      <c r="A17" s="1428" t="s">
        <v>3</v>
      </c>
      <c r="B17" s="1430" t="s">
        <v>4</v>
      </c>
      <c r="C17" s="1430" t="s">
        <v>5</v>
      </c>
      <c r="D17" s="1153" t="s">
        <v>4291</v>
      </c>
      <c r="E17" s="1154" t="s">
        <v>6</v>
      </c>
      <c r="F17" s="1155"/>
      <c r="G17" s="1156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28"/>
      <c r="B18" s="1430"/>
      <c r="C18" s="1430"/>
      <c r="D18" s="1097"/>
      <c r="E18" s="1243" t="s">
        <v>13</v>
      </c>
      <c r="F18" s="1453" t="s">
        <v>14</v>
      </c>
      <c r="G18" s="1454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29"/>
      <c r="B19" s="1431"/>
      <c r="C19" s="1431"/>
      <c r="D19" s="1098"/>
      <c r="E19" s="1223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23</v>
      </c>
      <c r="B20" s="493" t="s">
        <v>4546</v>
      </c>
      <c r="C20" s="493" t="str">
        <f>VLOOKUP(LEFT(B20,3),'ships name'!A:C,2,FALSE)</f>
        <v>COSCO SHIPPING LIBRA</v>
      </c>
      <c r="D20" s="493" t="str">
        <f>VLOOKUP(C20,'ships name'!B:C,2,FALSE)</f>
        <v>中远海运天秤座</v>
      </c>
      <c r="E20" s="493" t="str">
        <f>TEXT(LEFT(F20,3)-1,"000")&amp;"E"</f>
        <v>004E</v>
      </c>
      <c r="F20" s="561" t="str">
        <f>RIGHT(B20,3)&amp;"W"</f>
        <v>005W</v>
      </c>
      <c r="G20" s="501" t="s">
        <v>4547</v>
      </c>
      <c r="H20" s="501">
        <f>J20-2</f>
        <v>43618</v>
      </c>
      <c r="I20" s="501">
        <f>J20-1</f>
        <v>43619</v>
      </c>
      <c r="J20" s="501">
        <v>43620</v>
      </c>
      <c r="K20" s="501">
        <f>J20+5</f>
        <v>43625</v>
      </c>
      <c r="L20" s="501">
        <f>J20+20</f>
        <v>43640</v>
      </c>
      <c r="M20" s="501">
        <f>J20+28</f>
        <v>43648</v>
      </c>
      <c r="N20" s="501">
        <f>J20+30</f>
        <v>43650</v>
      </c>
      <c r="O20" s="501">
        <f>J20+34</f>
        <v>43654</v>
      </c>
    </row>
    <row r="21" spans="1:16" ht="19.899999999999999" customHeight="1">
      <c r="A21" s="774">
        <f>A20+1</f>
        <v>24</v>
      </c>
      <c r="B21" s="499" t="s">
        <v>4877</v>
      </c>
      <c r="C21" s="499" t="str">
        <f>VLOOKUP(LEFT(B21,3),'ships name'!A:C,2,FALSE)</f>
        <v>COSCO SHIPPING SAGITTARIUS</v>
      </c>
      <c r="D21" s="966" t="str">
        <f>VLOOKUP(C21,'ships name'!B:C,2,FALSE)</f>
        <v>中远海运人马座</v>
      </c>
      <c r="E21" s="499" t="str">
        <f>TEXT(LEFT(F21,3)-1,"000")&amp;"E"</f>
        <v>003E</v>
      </c>
      <c r="F21" s="780" t="str">
        <f t="shared" ref="F21:F24" si="7">RIGHT(B21,3)&amp;"W"</f>
        <v>004W</v>
      </c>
      <c r="G21" s="487" t="s">
        <v>4881</v>
      </c>
      <c r="H21" s="487">
        <f t="shared" ref="H21:H22" si="8">J21-2</f>
        <v>43625</v>
      </c>
      <c r="I21" s="487">
        <f t="shared" ref="I21" si="9">J21-1</f>
        <v>43626</v>
      </c>
      <c r="J21" s="487">
        <f t="shared" ref="J21:O24" si="10">J20+7</f>
        <v>43627</v>
      </c>
      <c r="K21" s="487">
        <f t="shared" si="10"/>
        <v>43632</v>
      </c>
      <c r="L21" s="487">
        <f t="shared" si="10"/>
        <v>43647</v>
      </c>
      <c r="M21" s="487">
        <f t="shared" si="10"/>
        <v>43655</v>
      </c>
      <c r="N21" s="487">
        <f t="shared" si="10"/>
        <v>43657</v>
      </c>
      <c r="O21" s="487">
        <f t="shared" si="10"/>
        <v>43661</v>
      </c>
    </row>
    <row r="22" spans="1:16" ht="19.899999999999999" customHeight="1">
      <c r="A22" s="774">
        <f>A21+1</f>
        <v>25</v>
      </c>
      <c r="B22" s="499" t="s">
        <v>4878</v>
      </c>
      <c r="C22" s="499" t="str">
        <f>VLOOKUP(LEFT(B22,3),'ships name'!A:C,2,FALSE)</f>
        <v>COSCO SHIPPING NEBULA</v>
      </c>
      <c r="D22" s="966" t="str">
        <f>VLOOKUP(C22,'ships name'!B:C,2,FALSE)</f>
        <v>中远海运星云</v>
      </c>
      <c r="E22" s="499" t="str">
        <f>TEXT(LEFT(F22,3)-1,"000")&amp;"E"</f>
        <v>003E</v>
      </c>
      <c r="F22" s="780" t="str">
        <f t="shared" si="7"/>
        <v>004W</v>
      </c>
      <c r="G22" s="487" t="s">
        <v>4882</v>
      </c>
      <c r="H22" s="487">
        <f t="shared" si="8"/>
        <v>43632</v>
      </c>
      <c r="I22" s="487">
        <f t="shared" ref="I22" si="11">J22-1</f>
        <v>43633</v>
      </c>
      <c r="J22" s="487">
        <f t="shared" si="10"/>
        <v>43634</v>
      </c>
      <c r="K22" s="487">
        <f t="shared" si="10"/>
        <v>43639</v>
      </c>
      <c r="L22" s="487">
        <f t="shared" si="10"/>
        <v>43654</v>
      </c>
      <c r="M22" s="487">
        <f t="shared" si="10"/>
        <v>43662</v>
      </c>
      <c r="N22" s="487">
        <f t="shared" si="10"/>
        <v>43664</v>
      </c>
      <c r="O22" s="487">
        <f t="shared" si="10"/>
        <v>43668</v>
      </c>
    </row>
    <row r="23" spans="1:16" ht="19.899999999999999" customHeight="1">
      <c r="A23" s="774">
        <f>A22+1</f>
        <v>26</v>
      </c>
      <c r="B23" s="499" t="s">
        <v>4879</v>
      </c>
      <c r="C23" s="499" t="str">
        <f>VLOOKUP(LEFT(B23,3),'ships name'!A:C,2,FALSE)</f>
        <v>COSCO SHIPPING VIRGO</v>
      </c>
      <c r="D23" s="966" t="str">
        <f>VLOOKUP(C23,'ships name'!B:C,2,FALSE)</f>
        <v>中远海运室女座</v>
      </c>
      <c r="E23" s="499" t="str">
        <f>TEXT(LEFT(F23,3)-1,"000")&amp;"E"</f>
        <v>005E</v>
      </c>
      <c r="F23" s="780" t="str">
        <f t="shared" si="7"/>
        <v>006W</v>
      </c>
      <c r="G23" s="487" t="s">
        <v>4883</v>
      </c>
      <c r="H23" s="487">
        <f t="shared" ref="H23" si="12">J23-2</f>
        <v>43639</v>
      </c>
      <c r="I23" s="487">
        <f t="shared" ref="I23" si="13">J23-1</f>
        <v>43640</v>
      </c>
      <c r="J23" s="487">
        <f t="shared" si="10"/>
        <v>43641</v>
      </c>
      <c r="K23" s="487">
        <f t="shared" si="10"/>
        <v>43646</v>
      </c>
      <c r="L23" s="487">
        <f t="shared" si="10"/>
        <v>43661</v>
      </c>
      <c r="M23" s="487">
        <f t="shared" si="10"/>
        <v>43669</v>
      </c>
      <c r="N23" s="487">
        <f t="shared" si="10"/>
        <v>43671</v>
      </c>
      <c r="O23" s="487">
        <f t="shared" si="10"/>
        <v>43675</v>
      </c>
    </row>
    <row r="24" spans="1:16" ht="19.899999999999999" customHeight="1">
      <c r="A24" s="774">
        <f>A23+1</f>
        <v>27</v>
      </c>
      <c r="B24" s="499" t="s">
        <v>4880</v>
      </c>
      <c r="C24" s="499" t="str">
        <f>VLOOKUP(LEFT(B24,3),'ships name'!A:C,2,FALSE)</f>
        <v>COSCO SHIPPING SCORPIO</v>
      </c>
      <c r="D24" s="966" t="str">
        <f>VLOOKUP(C24,'ships name'!B:C,2,FALSE)</f>
        <v>中远海运天蝎座</v>
      </c>
      <c r="E24" s="499" t="str">
        <f>TEXT(LEFT(F24,3)-1,"000")&amp;"E"</f>
        <v>004E</v>
      </c>
      <c r="F24" s="780" t="str">
        <f t="shared" si="7"/>
        <v>005W</v>
      </c>
      <c r="G24" s="487" t="s">
        <v>4884</v>
      </c>
      <c r="H24" s="487">
        <f t="shared" ref="H24" si="14">J24-2</f>
        <v>43646</v>
      </c>
      <c r="I24" s="487">
        <f t="shared" ref="I24" si="15">J24-1</f>
        <v>43647</v>
      </c>
      <c r="J24" s="487">
        <f t="shared" si="10"/>
        <v>43648</v>
      </c>
      <c r="K24" s="487">
        <f t="shared" si="10"/>
        <v>43653</v>
      </c>
      <c r="L24" s="487">
        <f t="shared" si="10"/>
        <v>43668</v>
      </c>
      <c r="M24" s="487">
        <f t="shared" si="10"/>
        <v>43676</v>
      </c>
      <c r="N24" s="487">
        <f t="shared" si="10"/>
        <v>43678</v>
      </c>
      <c r="O24" s="487">
        <f t="shared" si="10"/>
        <v>43682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92" t="s">
        <v>358</v>
      </c>
      <c r="B26" s="1593"/>
      <c r="C26" s="1593"/>
      <c r="D26" s="782"/>
      <c r="E26" s="1596" t="s">
        <v>3214</v>
      </c>
      <c r="F26" s="1596"/>
      <c r="G26" s="1596"/>
      <c r="H26" s="1596" t="s">
        <v>3087</v>
      </c>
      <c r="I26" s="1596"/>
      <c r="J26" s="1597"/>
      <c r="K26" s="1602" t="s">
        <v>2</v>
      </c>
      <c r="L26" s="1603"/>
      <c r="M26" s="1603"/>
      <c r="N26" s="1603"/>
      <c r="O26" s="1604"/>
    </row>
    <row r="27" spans="1:16" ht="19.899999999999999" customHeight="1">
      <c r="A27" s="1229" t="s">
        <v>3</v>
      </c>
      <c r="B27" s="1254" t="s">
        <v>4</v>
      </c>
      <c r="C27" s="1254" t="s">
        <v>5</v>
      </c>
      <c r="D27" s="1153" t="s">
        <v>4291</v>
      </c>
      <c r="E27" s="1154" t="s">
        <v>6</v>
      </c>
      <c r="F27" s="1155"/>
      <c r="G27" s="1156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28"/>
      <c r="B28" s="1430"/>
      <c r="C28" s="1430"/>
      <c r="D28" s="1097"/>
      <c r="E28" s="1243" t="s">
        <v>13</v>
      </c>
      <c r="F28" s="1453" t="s">
        <v>14</v>
      </c>
      <c r="G28" s="1454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29"/>
      <c r="B29" s="1431"/>
      <c r="C29" s="1431"/>
      <c r="D29" s="1098"/>
      <c r="E29" s="1223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23</v>
      </c>
      <c r="B30" s="493" t="s">
        <v>4885</v>
      </c>
      <c r="C30" s="493" t="str">
        <f>VLOOKUP(LEFT(B30,3),'ships name'!A:C,2,FALSE)</f>
        <v>CMA CGM MARCO POLO</v>
      </c>
      <c r="D30" s="493" t="str">
        <f>VLOOKUP(LEFT(B30,3),'ships name'!A:C,3,FALSE)</f>
        <v>美总达飞马可波罗</v>
      </c>
      <c r="E30" s="808" t="str">
        <f>F30</f>
        <v>0KN2NW</v>
      </c>
      <c r="F30" s="808" t="str">
        <f>LEFT(G30,6)</f>
        <v>0KN2NW</v>
      </c>
      <c r="G30" s="561" t="s">
        <v>4890</v>
      </c>
      <c r="H30" s="501">
        <f>I30-1</f>
        <v>43620</v>
      </c>
      <c r="I30" s="501">
        <f>J30-1</f>
        <v>43621</v>
      </c>
      <c r="J30" s="501">
        <v>43622</v>
      </c>
      <c r="K30" s="501">
        <f>J30+10</f>
        <v>43632</v>
      </c>
      <c r="L30" s="501">
        <f>J30+30</f>
        <v>43652</v>
      </c>
      <c r="M30" s="501">
        <f t="shared" ref="M30:N34" si="16">L30+2</f>
        <v>43654</v>
      </c>
      <c r="N30" s="501">
        <f t="shared" si="16"/>
        <v>43656</v>
      </c>
      <c r="O30" s="501">
        <f>N30+4</f>
        <v>43660</v>
      </c>
    </row>
    <row r="31" spans="1:16" ht="19.899999999999999" customHeight="1">
      <c r="A31" s="774">
        <f>A30+1</f>
        <v>24</v>
      </c>
      <c r="B31" s="499" t="s">
        <v>4886</v>
      </c>
      <c r="C31" s="930" t="str">
        <f>VLOOKUP(LEFT(B31,3),'ships name'!A:C,2,FALSE)</f>
        <v>CMA CGM LAPEROUSE</v>
      </c>
      <c r="D31" s="499" t="str">
        <f>VLOOKUP(LEFT(B31,3),'ships name'!A:C,3,FALSE)</f>
        <v xml:space="preserve"> </v>
      </c>
      <c r="E31" s="808" t="str">
        <f t="shared" ref="E31:E34" si="17">F31</f>
        <v>0KN2PW</v>
      </c>
      <c r="F31" s="808" t="str">
        <f t="shared" ref="F31:F34" si="18">LEFT(G31,6)</f>
        <v>0KN2PW</v>
      </c>
      <c r="G31" s="780" t="s">
        <v>4891</v>
      </c>
      <c r="H31" s="487">
        <f t="shared" ref="H31:J34" si="19">H30+7</f>
        <v>43627</v>
      </c>
      <c r="I31" s="487">
        <f t="shared" si="19"/>
        <v>43628</v>
      </c>
      <c r="J31" s="487">
        <f t="shared" si="19"/>
        <v>43629</v>
      </c>
      <c r="K31" s="487">
        <f>J31+10</f>
        <v>43639</v>
      </c>
      <c r="L31" s="487">
        <f>J31+30</f>
        <v>43659</v>
      </c>
      <c r="M31" s="487">
        <f t="shared" si="16"/>
        <v>43661</v>
      </c>
      <c r="N31" s="487">
        <f t="shared" si="16"/>
        <v>43663</v>
      </c>
      <c r="O31" s="487">
        <f>N31+4</f>
        <v>43667</v>
      </c>
    </row>
    <row r="32" spans="1:16" ht="19.899999999999999" customHeight="1">
      <c r="A32" s="774">
        <f>A31+1</f>
        <v>25</v>
      </c>
      <c r="B32" s="499" t="s">
        <v>4887</v>
      </c>
      <c r="C32" s="499" t="str">
        <f>VLOOKUP(LEFT(B32,3),'ships name'!A:C,2,FALSE)</f>
        <v>APL VANDA</v>
      </c>
      <c r="D32" s="499" t="str">
        <f>VLOOKUP(LEFT(B32,3),'ships name'!A:C,3,FALSE)</f>
        <v>美总万代兰</v>
      </c>
      <c r="E32" s="808" t="str">
        <f t="shared" si="17"/>
        <v>0KN2RW</v>
      </c>
      <c r="F32" s="808" t="str">
        <f t="shared" si="18"/>
        <v>0KN2RW</v>
      </c>
      <c r="G32" s="780" t="s">
        <v>4892</v>
      </c>
      <c r="H32" s="487">
        <f t="shared" si="19"/>
        <v>43634</v>
      </c>
      <c r="I32" s="487">
        <f t="shared" si="19"/>
        <v>43635</v>
      </c>
      <c r="J32" s="487">
        <f t="shared" si="19"/>
        <v>43636</v>
      </c>
      <c r="K32" s="487">
        <f>J32+10</f>
        <v>43646</v>
      </c>
      <c r="L32" s="487">
        <f>J32+30</f>
        <v>43666</v>
      </c>
      <c r="M32" s="487">
        <f t="shared" si="16"/>
        <v>43668</v>
      </c>
      <c r="N32" s="487">
        <f t="shared" si="16"/>
        <v>43670</v>
      </c>
      <c r="O32" s="487">
        <f>N32+4</f>
        <v>43674</v>
      </c>
    </row>
    <row r="33" spans="1:16" ht="19.899999999999999" customHeight="1">
      <c r="A33" s="774">
        <f>A32+1</f>
        <v>26</v>
      </c>
      <c r="B33" s="930" t="s">
        <v>4888</v>
      </c>
      <c r="C33" s="499" t="str">
        <f>VLOOKUP(LEFT(B33,3),'ships name'!A:C,2,FALSE)</f>
        <v>APL Merlion</v>
      </c>
      <c r="D33" s="499" t="str">
        <f>VLOOKUP(LEFT(B33,3),'ships name'!A:C,3,FALSE)</f>
        <v>美总默林</v>
      </c>
      <c r="E33" s="808" t="str">
        <f t="shared" si="17"/>
        <v>0KN2TW</v>
      </c>
      <c r="F33" s="808" t="str">
        <f t="shared" si="18"/>
        <v>0KN2TW</v>
      </c>
      <c r="G33" s="780" t="s">
        <v>4893</v>
      </c>
      <c r="H33" s="487">
        <f t="shared" si="19"/>
        <v>43641</v>
      </c>
      <c r="I33" s="487">
        <f t="shared" si="19"/>
        <v>43642</v>
      </c>
      <c r="J33" s="487">
        <f t="shared" si="19"/>
        <v>43643</v>
      </c>
      <c r="K33" s="487">
        <f>J33+10</f>
        <v>43653</v>
      </c>
      <c r="L33" s="487">
        <f>J33+30</f>
        <v>43673</v>
      </c>
      <c r="M33" s="487">
        <f t="shared" si="16"/>
        <v>43675</v>
      </c>
      <c r="N33" s="487">
        <f t="shared" si="16"/>
        <v>43677</v>
      </c>
      <c r="O33" s="487">
        <f>N33+4</f>
        <v>43681</v>
      </c>
    </row>
    <row r="34" spans="1:16" ht="19.899999999999999" customHeight="1">
      <c r="A34" s="774">
        <f>A33+1</f>
        <v>27</v>
      </c>
      <c r="B34" s="930" t="s">
        <v>4889</v>
      </c>
      <c r="C34" s="499" t="str">
        <f>VLOOKUP(LEFT(B34,3),'ships name'!A:C,2,FALSE)</f>
        <v>APL SINGAPURA</v>
      </c>
      <c r="D34" s="499" t="str">
        <f>VLOOKUP(LEFT(B34,3),'ships name'!A:C,3,FALSE)</f>
        <v>美总新加坡拉</v>
      </c>
      <c r="E34" s="808" t="str">
        <f t="shared" si="17"/>
        <v>0KN2VW</v>
      </c>
      <c r="F34" s="808" t="str">
        <f t="shared" si="18"/>
        <v>0KN2VW</v>
      </c>
      <c r="G34" s="780" t="s">
        <v>4894</v>
      </c>
      <c r="H34" s="487">
        <f t="shared" si="19"/>
        <v>43648</v>
      </c>
      <c r="I34" s="487">
        <f t="shared" si="19"/>
        <v>43649</v>
      </c>
      <c r="J34" s="487">
        <f t="shared" si="19"/>
        <v>43650</v>
      </c>
      <c r="K34" s="487">
        <f>J34+10</f>
        <v>43660</v>
      </c>
      <c r="L34" s="487">
        <f>J34+30</f>
        <v>43680</v>
      </c>
      <c r="M34" s="487">
        <f t="shared" si="16"/>
        <v>43682</v>
      </c>
      <c r="N34" s="487">
        <f t="shared" si="16"/>
        <v>43684</v>
      </c>
      <c r="O34" s="487">
        <f>N34+4</f>
        <v>43688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38" t="s">
        <v>369</v>
      </c>
      <c r="B36" s="1239"/>
      <c r="C36" s="1239"/>
      <c r="D36" s="507"/>
      <c r="E36" s="1525" t="s">
        <v>3260</v>
      </c>
      <c r="F36" s="1525"/>
      <c r="G36" s="1525"/>
      <c r="H36" s="1525" t="s">
        <v>3087</v>
      </c>
      <c r="I36" s="1525"/>
      <c r="J36" s="1601"/>
      <c r="K36" s="1598" t="s">
        <v>2</v>
      </c>
      <c r="L36" s="1599"/>
      <c r="M36" s="1599"/>
      <c r="N36" s="1599"/>
      <c r="O36" s="1599"/>
      <c r="P36" s="1600"/>
    </row>
    <row r="37" spans="1:16" ht="19.899999999999999" customHeight="1">
      <c r="A37" s="1428" t="s">
        <v>3</v>
      </c>
      <c r="B37" s="1430" t="s">
        <v>4</v>
      </c>
      <c r="C37" s="1430" t="s">
        <v>5</v>
      </c>
      <c r="D37" s="1153" t="s">
        <v>4291</v>
      </c>
      <c r="E37" s="1154" t="s">
        <v>6</v>
      </c>
      <c r="F37" s="1155"/>
      <c r="G37" s="1156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7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28"/>
      <c r="B38" s="1430"/>
      <c r="C38" s="1430"/>
      <c r="D38" s="1097"/>
      <c r="E38" s="1243" t="s">
        <v>13</v>
      </c>
      <c r="F38" s="1453" t="s">
        <v>14</v>
      </c>
      <c r="G38" s="1454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29"/>
      <c r="B39" s="1431"/>
      <c r="C39" s="1431"/>
      <c r="D39" s="1098"/>
      <c r="E39" s="1223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5" t="s">
        <v>67</v>
      </c>
      <c r="N39" s="616" t="s">
        <v>3426</v>
      </c>
      <c r="O39" s="700" t="s">
        <v>174</v>
      </c>
      <c r="P39" s="999" t="s">
        <v>173</v>
      </c>
    </row>
    <row r="40" spans="1:16" ht="19.899999999999999" customHeight="1">
      <c r="A40" s="537">
        <v>23</v>
      </c>
      <c r="B40" s="493" t="s">
        <v>4895</v>
      </c>
      <c r="C40" s="493" t="str">
        <f>VLOOKUP(LEFT(B40,3),'ships name'!A:C,2,FALSE)</f>
        <v>OOCL GERMANY</v>
      </c>
      <c r="D40" s="493" t="str">
        <f>VLOOKUP(LEFT(B40,3),'ships name'!A:C,3,FALSE)</f>
        <v>东方德国</v>
      </c>
      <c r="E40" s="493" t="s">
        <v>3828</v>
      </c>
      <c r="F40" s="561" t="str">
        <f>RIGHT(B40,3)&amp;"W"</f>
        <v>009W</v>
      </c>
      <c r="G40" s="493" t="s">
        <v>4898</v>
      </c>
      <c r="H40" s="501">
        <f>J40-2</f>
        <v>43619</v>
      </c>
      <c r="I40" s="501">
        <f>J40-1</f>
        <v>43620</v>
      </c>
      <c r="J40" s="501">
        <v>43621</v>
      </c>
      <c r="K40" s="501">
        <f>J40+8</f>
        <v>43629</v>
      </c>
      <c r="L40" s="1066">
        <f>J40+27</f>
        <v>43648</v>
      </c>
      <c r="M40" s="1053">
        <f>J40+30</f>
        <v>43651</v>
      </c>
      <c r="N40" s="1066">
        <f>J40+33</f>
        <v>43654</v>
      </c>
      <c r="O40" s="1033">
        <f>J40+40</f>
        <v>43661</v>
      </c>
      <c r="P40" s="1056">
        <f>J40+31</f>
        <v>43652</v>
      </c>
    </row>
    <row r="41" spans="1:16" ht="19.5" customHeight="1">
      <c r="A41" s="774">
        <f>A40+1</f>
        <v>24</v>
      </c>
      <c r="B41" s="499" t="s">
        <v>27</v>
      </c>
      <c r="C41" s="1085" t="s">
        <v>4598</v>
      </c>
      <c r="D41" s="499" t="str">
        <f>VLOOKUP(LEFT(B41,3),'ships name'!A:C,3,FALSE)</f>
        <v>TO BE ADVISED</v>
      </c>
      <c r="E41" s="499" t="e">
        <f>TEXT(LEFT(F41,3)-1,"000")&amp;"E"</f>
        <v>#VALUE!</v>
      </c>
      <c r="F41" s="780" t="str">
        <f t="shared" ref="F41:F44" si="20">RIGHT(B41,3)&amp;"W"</f>
        <v>TBAW</v>
      </c>
      <c r="G41" s="499" t="s">
        <v>4899</v>
      </c>
      <c r="H41" s="487">
        <f t="shared" ref="H41:J44" si="21">H40+7</f>
        <v>43626</v>
      </c>
      <c r="I41" s="487">
        <f t="shared" si="21"/>
        <v>43627</v>
      </c>
      <c r="J41" s="487">
        <f t="shared" si="21"/>
        <v>43628</v>
      </c>
      <c r="K41" s="487">
        <f>J41+7</f>
        <v>43635</v>
      </c>
      <c r="L41" s="487">
        <f>J41+27</f>
        <v>43655</v>
      </c>
      <c r="M41" s="1001">
        <f>J41+29</f>
        <v>43657</v>
      </c>
      <c r="N41" s="487">
        <f>J41+33</f>
        <v>43661</v>
      </c>
      <c r="O41" s="1033">
        <f>J41+40</f>
        <v>43668</v>
      </c>
      <c r="P41" s="994">
        <f>J41+31</f>
        <v>43659</v>
      </c>
    </row>
    <row r="42" spans="1:16" ht="19.899999999999999" customHeight="1">
      <c r="A42" s="774">
        <f>A41+1</f>
        <v>25</v>
      </c>
      <c r="B42" s="499" t="s">
        <v>4896</v>
      </c>
      <c r="C42" s="499" t="str">
        <f>VLOOKUP(LEFT(B42,3),'ships name'!A:C,2,FALSE)</f>
        <v>OOCL SCANDINAVIA</v>
      </c>
      <c r="D42" s="499" t="str">
        <f>VLOOKUP(LEFT(B42,3),'ships name'!A:C,3,FALSE)</f>
        <v>东方斯堪的纳维亚</v>
      </c>
      <c r="E42" s="499" t="str">
        <f>TEXT(LEFT(F42,3)-1,"000")&amp;"E"</f>
        <v>007E</v>
      </c>
      <c r="F42" s="780" t="str">
        <f t="shared" si="20"/>
        <v>008W</v>
      </c>
      <c r="G42" s="499" t="s">
        <v>4900</v>
      </c>
      <c r="H42" s="487">
        <f t="shared" si="21"/>
        <v>43633</v>
      </c>
      <c r="I42" s="487">
        <f t="shared" si="21"/>
        <v>43634</v>
      </c>
      <c r="J42" s="487">
        <f t="shared" si="21"/>
        <v>43635</v>
      </c>
      <c r="K42" s="487">
        <f>J42+7</f>
        <v>43642</v>
      </c>
      <c r="L42" s="487">
        <f>J42+27</f>
        <v>43662</v>
      </c>
      <c r="M42" s="1001">
        <f>M40+14</f>
        <v>43665</v>
      </c>
      <c r="N42" s="487">
        <f>J42+33</f>
        <v>43668</v>
      </c>
      <c r="O42" s="1033">
        <f t="shared" ref="O42:O44" si="22">J42+40</f>
        <v>43675</v>
      </c>
      <c r="P42" s="994">
        <f t="shared" ref="P42:P44" si="23">J42+31</f>
        <v>43666</v>
      </c>
    </row>
    <row r="43" spans="1:16" ht="19.899999999999999" customHeight="1">
      <c r="A43" s="774">
        <f>A42+1</f>
        <v>26</v>
      </c>
      <c r="B43" s="499" t="s">
        <v>4897</v>
      </c>
      <c r="C43" s="499" t="str">
        <f>VLOOKUP(LEFT(B43,3),'ships name'!A:C,2,FALSE)</f>
        <v>OOCL JAPAN</v>
      </c>
      <c r="D43" s="499" t="str">
        <f>VLOOKUP(LEFT(B43,3),'ships name'!A:C,3,FALSE)</f>
        <v>东方日本</v>
      </c>
      <c r="E43" s="499" t="str">
        <f>TEXT(LEFT(F43,3)-1,"000")&amp;"E"</f>
        <v>008E</v>
      </c>
      <c r="F43" s="780" t="str">
        <f t="shared" si="20"/>
        <v>009W</v>
      </c>
      <c r="G43" s="499" t="s">
        <v>4901</v>
      </c>
      <c r="H43" s="487">
        <f t="shared" si="21"/>
        <v>43640</v>
      </c>
      <c r="I43" s="487">
        <f t="shared" si="21"/>
        <v>43641</v>
      </c>
      <c r="J43" s="487">
        <f t="shared" si="21"/>
        <v>43642</v>
      </c>
      <c r="K43" s="487">
        <f>J43+7</f>
        <v>43649</v>
      </c>
      <c r="L43" s="487">
        <f>J43+27</f>
        <v>43669</v>
      </c>
      <c r="M43" s="1001">
        <f>J43+29</f>
        <v>43671</v>
      </c>
      <c r="N43" s="487">
        <f>J43+33</f>
        <v>43675</v>
      </c>
      <c r="O43" s="1033">
        <f t="shared" si="22"/>
        <v>43682</v>
      </c>
      <c r="P43" s="994">
        <f t="shared" si="23"/>
        <v>43673</v>
      </c>
    </row>
    <row r="44" spans="1:16" ht="19.899999999999999" customHeight="1">
      <c r="A44" s="774">
        <f>A43+1</f>
        <v>27</v>
      </c>
      <c r="B44" s="499" t="s">
        <v>27</v>
      </c>
      <c r="C44" s="1086" t="s">
        <v>4903</v>
      </c>
      <c r="D44" s="499" t="str">
        <f>VLOOKUP(LEFT(B44,3),'ships name'!A:C,3,FALSE)</f>
        <v>TO BE ADVISED</v>
      </c>
      <c r="E44" s="499" t="e">
        <f>TEXT(LEFT(F44,3)-1,"000")&amp;"E"</f>
        <v>#VALUE!</v>
      </c>
      <c r="F44" s="780" t="str">
        <f t="shared" si="20"/>
        <v>TBAW</v>
      </c>
      <c r="G44" s="499" t="s">
        <v>4902</v>
      </c>
      <c r="H44" s="487">
        <f t="shared" si="21"/>
        <v>43647</v>
      </c>
      <c r="I44" s="487">
        <f t="shared" si="21"/>
        <v>43648</v>
      </c>
      <c r="J44" s="487">
        <f t="shared" si="21"/>
        <v>43649</v>
      </c>
      <c r="K44" s="487">
        <f>J44+7</f>
        <v>43656</v>
      </c>
      <c r="L44" s="487">
        <f>J44+27</f>
        <v>43676</v>
      </c>
      <c r="M44" s="1001">
        <f>J44+29</f>
        <v>43678</v>
      </c>
      <c r="N44" s="487">
        <f>J44+33</f>
        <v>43682</v>
      </c>
      <c r="O44" s="1033">
        <f t="shared" si="22"/>
        <v>43689</v>
      </c>
      <c r="P44" s="994">
        <f t="shared" si="23"/>
        <v>43680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38" t="s">
        <v>375</v>
      </c>
      <c r="B48" s="1239"/>
      <c r="C48" s="1239"/>
      <c r="D48" s="507"/>
      <c r="E48" s="1525" t="s">
        <v>3265</v>
      </c>
      <c r="F48" s="1525"/>
      <c r="G48" s="1525"/>
      <c r="H48" s="1525" t="s">
        <v>3087</v>
      </c>
      <c r="I48" s="1525"/>
      <c r="J48" s="1526"/>
      <c r="K48" s="1589" t="s">
        <v>2</v>
      </c>
      <c r="L48" s="1590"/>
      <c r="M48" s="1590"/>
      <c r="N48" s="1591"/>
      <c r="O48" s="424"/>
    </row>
    <row r="49" spans="1:16" ht="19.899999999999999" customHeight="1">
      <c r="A49" s="1428" t="s">
        <v>3</v>
      </c>
      <c r="B49" s="1430" t="s">
        <v>4</v>
      </c>
      <c r="C49" s="1430" t="s">
        <v>5</v>
      </c>
      <c r="D49" s="1153" t="s">
        <v>4291</v>
      </c>
      <c r="E49" s="1154" t="s">
        <v>6</v>
      </c>
      <c r="F49" s="1155"/>
      <c r="G49" s="1156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28"/>
      <c r="B50" s="1430"/>
      <c r="C50" s="1430"/>
      <c r="D50" s="1097"/>
      <c r="E50" s="1243" t="s">
        <v>13</v>
      </c>
      <c r="F50" s="1453" t="s">
        <v>14</v>
      </c>
      <c r="G50" s="1454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29"/>
      <c r="B51" s="1431"/>
      <c r="C51" s="1431"/>
      <c r="D51" s="1098"/>
      <c r="E51" s="1223"/>
      <c r="F51" s="605" t="s">
        <v>4292</v>
      </c>
      <c r="G51" s="536" t="s">
        <v>4293</v>
      </c>
      <c r="H51" s="616" t="s">
        <v>29</v>
      </c>
      <c r="I51" s="616" t="s">
        <v>4005</v>
      </c>
      <c r="J51" s="700" t="s">
        <v>3351</v>
      </c>
      <c r="K51" s="521" t="s">
        <v>248</v>
      </c>
      <c r="L51" s="616" t="s">
        <v>176</v>
      </c>
      <c r="M51" s="616" t="s">
        <v>67</v>
      </c>
      <c r="N51" s="700" t="s">
        <v>68</v>
      </c>
      <c r="O51" s="417"/>
    </row>
    <row r="52" spans="1:16" ht="21" customHeight="1">
      <c r="A52" s="537">
        <v>23</v>
      </c>
      <c r="B52" s="493" t="s">
        <v>4904</v>
      </c>
      <c r="C52" s="493" t="str">
        <f>VLOOKUP(LEFT(B52,3),'ships name'!A:C,2,FALSE)</f>
        <v>EVER GIVEN</v>
      </c>
      <c r="D52" s="493" t="str">
        <f>VLOOKUP(LEFT(B52,3),'ships name'!A:C,3,FALSE)</f>
        <v xml:space="preserve"> </v>
      </c>
      <c r="E52" s="493" t="str">
        <f>TEXT(LEFT(F52,3)-1,"000")&amp;"E"</f>
        <v>003E</v>
      </c>
      <c r="F52" s="561" t="str">
        <f>RIGHT(B52,3)&amp;"W"</f>
        <v>004W</v>
      </c>
      <c r="G52" s="493" t="s">
        <v>4909</v>
      </c>
      <c r="H52" s="1001" t="e">
        <f>H51+7</f>
        <v>#VALUE!</v>
      </c>
      <c r="I52" s="501">
        <f>J52-1</f>
        <v>43621</v>
      </c>
      <c r="J52" s="501">
        <v>43622</v>
      </c>
      <c r="K52" s="501">
        <f>J52+12</f>
        <v>43634</v>
      </c>
      <c r="L52" s="1066">
        <f t="shared" ref="L52:L55" si="24">J52+27</f>
        <v>43649</v>
      </c>
      <c r="M52" s="1066">
        <f t="shared" ref="M52:M55" si="25">J52+30</f>
        <v>43652</v>
      </c>
      <c r="N52" s="1066">
        <f t="shared" ref="N52:N55" si="26">J52+33</f>
        <v>43655</v>
      </c>
      <c r="O52" s="560"/>
    </row>
    <row r="53" spans="1:16" ht="21" customHeight="1">
      <c r="A53" s="774">
        <f>A52+1</f>
        <v>24</v>
      </c>
      <c r="B53" s="499" t="s">
        <v>4905</v>
      </c>
      <c r="C53" s="499" t="str">
        <f>VLOOKUP(LEFT(B53,3),'ships name'!A:C,2,FALSE)</f>
        <v>EVER GENTLE</v>
      </c>
      <c r="D53" s="499" t="str">
        <f>VLOOKUP(LEFT(B53,3),'ships name'!A:C,3,FALSE)</f>
        <v xml:space="preserve"> </v>
      </c>
      <c r="E53" s="499" t="str">
        <f>TEXT(LEFT(F53,3)-1,"000")&amp;"E"</f>
        <v>001E</v>
      </c>
      <c r="F53" s="780" t="str">
        <f t="shared" ref="F53:F56" si="27">RIGHT(B53,3)&amp;"W"</f>
        <v>002W</v>
      </c>
      <c r="G53" s="499" t="s">
        <v>4910</v>
      </c>
      <c r="H53" s="1001" t="e">
        <f t="shared" ref="H53" si="28">H52+7</f>
        <v>#VALUE!</v>
      </c>
      <c r="I53" s="487">
        <f t="shared" ref="H53:J56" si="29">I52+7</f>
        <v>43628</v>
      </c>
      <c r="J53" s="487">
        <f t="shared" si="29"/>
        <v>43629</v>
      </c>
      <c r="K53" s="487">
        <f>J53+12</f>
        <v>43641</v>
      </c>
      <c r="L53" s="1066">
        <f t="shared" si="24"/>
        <v>43656</v>
      </c>
      <c r="M53" s="1066">
        <f t="shared" si="25"/>
        <v>43659</v>
      </c>
      <c r="N53" s="1066">
        <f t="shared" si="26"/>
        <v>43662</v>
      </c>
      <c r="O53" s="560"/>
    </row>
    <row r="54" spans="1:16" ht="21" customHeight="1">
      <c r="A54" s="774">
        <f>A53+1</f>
        <v>25</v>
      </c>
      <c r="B54" s="499" t="s">
        <v>4906</v>
      </c>
      <c r="C54" s="499" t="str">
        <f>VLOOKUP(LEFT(B54,3),'ships name'!A:C,2,FALSE)</f>
        <v>EVER GENIUS</v>
      </c>
      <c r="D54" s="499">
        <f>VLOOKUP(LEFT(B54,3),'ships name'!A:C,3,FALSE)</f>
        <v>0</v>
      </c>
      <c r="E54" s="499" t="str">
        <f>TEXT(LEFT(F54,3)-1,"000")&amp;"E"</f>
        <v>007E</v>
      </c>
      <c r="F54" s="780" t="str">
        <f t="shared" si="27"/>
        <v>008W</v>
      </c>
      <c r="G54" s="499" t="s">
        <v>4911</v>
      </c>
      <c r="H54" s="1001" t="e">
        <f t="shared" si="29"/>
        <v>#VALUE!</v>
      </c>
      <c r="I54" s="487">
        <f>J54-2</f>
        <v>43634</v>
      </c>
      <c r="J54" s="1066">
        <f t="shared" si="29"/>
        <v>43636</v>
      </c>
      <c r="K54" s="487">
        <f>K53+7</f>
        <v>43648</v>
      </c>
      <c r="L54" s="1066">
        <f t="shared" si="24"/>
        <v>43663</v>
      </c>
      <c r="M54" s="1066">
        <f t="shared" si="25"/>
        <v>43666</v>
      </c>
      <c r="N54" s="1066">
        <f t="shared" si="26"/>
        <v>43669</v>
      </c>
      <c r="O54" s="560"/>
    </row>
    <row r="55" spans="1:16" ht="21" customHeight="1">
      <c r="A55" s="774">
        <f>A54+1</f>
        <v>26</v>
      </c>
      <c r="B55" s="943" t="s">
        <v>4907</v>
      </c>
      <c r="C55" s="499" t="str">
        <f>VLOOKUP(LEFT(B55,3),'ships name'!A:C,2,FALSE)</f>
        <v>EVER GRADE</v>
      </c>
      <c r="D55" s="499">
        <f>VLOOKUP(LEFT(B55,3),'ships name'!A:C,3,FALSE)</f>
        <v>0</v>
      </c>
      <c r="E55" s="499" t="str">
        <f>TEXT(LEFT(F55,3)-1,"000")&amp;"E"</f>
        <v>002E</v>
      </c>
      <c r="F55" s="780" t="str">
        <f t="shared" si="27"/>
        <v>003W</v>
      </c>
      <c r="G55" s="499" t="s">
        <v>4912</v>
      </c>
      <c r="H55" s="1001" t="e">
        <f t="shared" si="29"/>
        <v>#VALUE!</v>
      </c>
      <c r="I55" s="487">
        <f t="shared" si="29"/>
        <v>43641</v>
      </c>
      <c r="J55" s="487">
        <f t="shared" si="29"/>
        <v>43643</v>
      </c>
      <c r="K55" s="487">
        <f>K54+7</f>
        <v>43655</v>
      </c>
      <c r="L55" s="1066">
        <f t="shared" si="24"/>
        <v>43670</v>
      </c>
      <c r="M55" s="1066">
        <f t="shared" si="25"/>
        <v>43673</v>
      </c>
      <c r="N55" s="1066">
        <f t="shared" si="26"/>
        <v>43676</v>
      </c>
      <c r="O55" s="560"/>
    </row>
    <row r="56" spans="1:16" ht="21" customHeight="1">
      <c r="A56" s="774">
        <f>A55+1</f>
        <v>27</v>
      </c>
      <c r="B56" s="499" t="s">
        <v>4908</v>
      </c>
      <c r="C56" s="499" t="str">
        <f>VLOOKUP(LEFT(B56,3),'ships name'!A:C,2,FALSE)</f>
        <v>TITAN</v>
      </c>
      <c r="D56" s="499" t="str">
        <f>VLOOKUP(LEFT(B56,3),'ships name'!A:C,3,FALSE)</f>
        <v xml:space="preserve"> </v>
      </c>
      <c r="E56" s="499" t="str">
        <f>TEXT(LEFT(F56,3)-1,"000")&amp;"E"</f>
        <v>015E</v>
      </c>
      <c r="F56" s="780" t="str">
        <f t="shared" si="27"/>
        <v>016W</v>
      </c>
      <c r="G56" s="499" t="s">
        <v>4913</v>
      </c>
      <c r="H56" s="1001" t="e">
        <f t="shared" si="29"/>
        <v>#VALUE!</v>
      </c>
      <c r="I56" s="487">
        <f t="shared" si="29"/>
        <v>43648</v>
      </c>
      <c r="J56" s="487">
        <f t="shared" si="29"/>
        <v>43650</v>
      </c>
      <c r="K56" s="487">
        <f>K55+7</f>
        <v>43662</v>
      </c>
      <c r="L56" s="1051">
        <f t="shared" ref="L56" si="30">J56+27</f>
        <v>43677</v>
      </c>
      <c r="M56" s="1051">
        <f t="shared" ref="M56" si="31">J56+30</f>
        <v>43680</v>
      </c>
      <c r="N56" s="1051">
        <f t="shared" ref="N56" si="32">J56+33</f>
        <v>43683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92" t="s">
        <v>4506</v>
      </c>
      <c r="B58" s="1593"/>
      <c r="C58" s="1593"/>
      <c r="D58" s="782"/>
      <c r="E58" s="1594" t="s">
        <v>4508</v>
      </c>
      <c r="F58" s="1255"/>
      <c r="G58" s="1595"/>
      <c r="H58" s="1596" t="s">
        <v>4507</v>
      </c>
      <c r="I58" s="1596"/>
      <c r="J58" s="1597"/>
      <c r="K58" s="1035" t="s">
        <v>2</v>
      </c>
      <c r="L58" s="1538" t="s">
        <v>2</v>
      </c>
      <c r="M58" s="1538"/>
      <c r="N58" s="1589"/>
    </row>
    <row r="59" spans="1:16" ht="19.899999999999999" customHeight="1">
      <c r="A59" s="1229" t="s">
        <v>3</v>
      </c>
      <c r="B59" s="1254" t="s">
        <v>4</v>
      </c>
      <c r="C59" s="1254" t="s">
        <v>5</v>
      </c>
      <c r="D59" s="1153" t="s">
        <v>4291</v>
      </c>
      <c r="E59" s="1154" t="s">
        <v>6</v>
      </c>
      <c r="F59" s="1155"/>
      <c r="G59" s="1156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28"/>
      <c r="B60" s="1430"/>
      <c r="C60" s="1430"/>
      <c r="D60" s="1097"/>
      <c r="E60" s="1243" t="s">
        <v>13</v>
      </c>
      <c r="F60" s="1453" t="s">
        <v>14</v>
      </c>
      <c r="G60" s="1454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29"/>
      <c r="B61" s="1431"/>
      <c r="C61" s="1431"/>
      <c r="D61" s="1098"/>
      <c r="E61" s="1223"/>
      <c r="F61" s="605" t="s">
        <v>4292</v>
      </c>
      <c r="G61" s="536" t="s">
        <v>4293</v>
      </c>
      <c r="H61" s="997" t="s">
        <v>4509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23</v>
      </c>
      <c r="B62" s="493" t="s">
        <v>4548</v>
      </c>
      <c r="C62" s="493" t="str">
        <f>VLOOKUP(LEFT(B62,3),'ships name'!A:C,2,FALSE)</f>
        <v xml:space="preserve">THALASSA AVRA </v>
      </c>
      <c r="D62" s="493" t="str">
        <f>VLOOKUP(LEFT(B62,3),'ships name'!A:C,3,FALSE)</f>
        <v xml:space="preserve"> </v>
      </c>
      <c r="E62" s="561" t="str">
        <f>TEXT(RIGHT(B62,3)-1,"000")&amp;"E"</f>
        <v>025E</v>
      </c>
      <c r="F62" s="561" t="str">
        <f>RIGHT(B62,3)&amp;"W"</f>
        <v>026W</v>
      </c>
      <c r="G62" s="493" t="s">
        <v>4549</v>
      </c>
      <c r="H62" s="994">
        <f>I62-1</f>
        <v>43617</v>
      </c>
      <c r="I62" s="501">
        <f>J62-2</f>
        <v>43618</v>
      </c>
      <c r="J62" s="501">
        <v>43620</v>
      </c>
      <c r="K62" s="501">
        <f>J62+12</f>
        <v>43632</v>
      </c>
      <c r="L62" s="501">
        <f>J62+31</f>
        <v>43651</v>
      </c>
      <c r="M62" s="501">
        <f>J62+34</f>
        <v>43654</v>
      </c>
      <c r="N62" s="501">
        <f>J62+37</f>
        <v>43657</v>
      </c>
    </row>
    <row r="63" spans="1:16" ht="21" customHeight="1">
      <c r="A63" s="781">
        <f>A62+1</f>
        <v>24</v>
      </c>
      <c r="B63" s="499" t="s">
        <v>4915</v>
      </c>
      <c r="C63" s="499" t="str">
        <f>VLOOKUP(LEFT(B63,3),'ships name'!A:C,2,FALSE)</f>
        <v>TAURUS</v>
      </c>
      <c r="D63" s="499" t="str">
        <f>VLOOKUP(LEFT(B63,3),'ships name'!A:C,3,FALSE)</f>
        <v xml:space="preserve"> </v>
      </c>
      <c r="E63" s="780" t="str">
        <f>TEXT(RIGHT(B63,3)-1,"000")&amp;"E"</f>
        <v>013E</v>
      </c>
      <c r="F63" s="780" t="str">
        <f t="shared" ref="F63:F65" si="33">RIGHT(B63,3)&amp;"W"</f>
        <v>014W</v>
      </c>
      <c r="G63" s="499" t="s">
        <v>4919</v>
      </c>
      <c r="H63" s="994">
        <f t="shared" ref="H63:H66" si="34">I63-1</f>
        <v>43624</v>
      </c>
      <c r="I63" s="994">
        <f t="shared" ref="I63:I66" si="35">J63-2</f>
        <v>43625</v>
      </c>
      <c r="J63" s="487">
        <f>J62+7</f>
        <v>43627</v>
      </c>
      <c r="K63" s="487">
        <f>J63+12</f>
        <v>43639</v>
      </c>
      <c r="L63" s="994">
        <f t="shared" ref="L63:L66" si="36">J63+31</f>
        <v>43658</v>
      </c>
      <c r="M63" s="994">
        <f t="shared" ref="M63:M66" si="37">J63+34</f>
        <v>43661</v>
      </c>
      <c r="N63" s="994">
        <f t="shared" ref="N63:N66" si="38">J63+37</f>
        <v>43664</v>
      </c>
    </row>
    <row r="64" spans="1:16" ht="21" customHeight="1">
      <c r="A64" s="781">
        <f>A63+1</f>
        <v>25</v>
      </c>
      <c r="B64" s="499" t="s">
        <v>4916</v>
      </c>
      <c r="C64" s="499" t="str">
        <f>VLOOKUP(LEFT(B64,3),'ships name'!A:C,2,FALSE)</f>
        <v>THALASSA NIKI</v>
      </c>
      <c r="D64" s="499">
        <f>VLOOKUP(LEFT(B64,3),'ships name'!A:C,3,FALSE)</f>
        <v>0</v>
      </c>
      <c r="E64" s="780" t="str">
        <f>TEXT(RIGHT(B64,3)-1,"000")&amp;"E"</f>
        <v>025E</v>
      </c>
      <c r="F64" s="780" t="str">
        <f t="shared" si="33"/>
        <v>026W</v>
      </c>
      <c r="G64" s="499" t="s">
        <v>4920</v>
      </c>
      <c r="H64" s="994">
        <f t="shared" si="34"/>
        <v>43631</v>
      </c>
      <c r="I64" s="994">
        <f t="shared" si="35"/>
        <v>43632</v>
      </c>
      <c r="J64" s="487">
        <f>J63+7</f>
        <v>43634</v>
      </c>
      <c r="K64" s="487">
        <f>J64+12</f>
        <v>43646</v>
      </c>
      <c r="L64" s="994">
        <f t="shared" si="36"/>
        <v>43665</v>
      </c>
      <c r="M64" s="994">
        <f t="shared" si="37"/>
        <v>43668</v>
      </c>
      <c r="N64" s="994">
        <f t="shared" si="38"/>
        <v>43671</v>
      </c>
    </row>
    <row r="65" spans="1:17" ht="21" customHeight="1">
      <c r="A65" s="781">
        <f>A64+1</f>
        <v>26</v>
      </c>
      <c r="B65" s="563" t="s">
        <v>4917</v>
      </c>
      <c r="C65" s="499" t="str">
        <f>VLOOKUP(LEFT(B65,3),'ships name'!A:C,2,FALSE)</f>
        <v>THALASSA MANA</v>
      </c>
      <c r="D65" s="499" t="str">
        <f>VLOOKUP(LEFT(B65,3),'ships name'!A:C,3,FALSE)</f>
        <v xml:space="preserve"> </v>
      </c>
      <c r="E65" s="780" t="str">
        <f>TEXT(RIGHT(B65,3)-1,"000")&amp;"E"</f>
        <v>026E</v>
      </c>
      <c r="F65" s="780" t="str">
        <f t="shared" si="33"/>
        <v>027W</v>
      </c>
      <c r="G65" s="499" t="s">
        <v>4921</v>
      </c>
      <c r="H65" s="994">
        <f t="shared" si="34"/>
        <v>43638</v>
      </c>
      <c r="I65" s="994">
        <f t="shared" si="35"/>
        <v>43639</v>
      </c>
      <c r="J65" s="487">
        <f>J64+7</f>
        <v>43641</v>
      </c>
      <c r="K65" s="487">
        <f>J65+12</f>
        <v>43653</v>
      </c>
      <c r="L65" s="994">
        <f t="shared" si="36"/>
        <v>43672</v>
      </c>
      <c r="M65" s="994">
        <f t="shared" si="37"/>
        <v>43675</v>
      </c>
      <c r="N65" s="994">
        <f t="shared" si="38"/>
        <v>43678</v>
      </c>
    </row>
    <row r="66" spans="1:17" s="1002" customFormat="1" ht="21" customHeight="1">
      <c r="A66" s="1034">
        <f>A65+1</f>
        <v>27</v>
      </c>
      <c r="B66" s="995" t="s">
        <v>4918</v>
      </c>
      <c r="C66" s="995" t="str">
        <f>VLOOKUP(LEFT(B66,3),'ships name'!A:C,2,FALSE)</f>
        <v>TOLEDO TRIUMPH</v>
      </c>
      <c r="D66" s="995" t="str">
        <f>VLOOKUP(LEFT(B66,3),'ships name'!A:C,3,FALSE)</f>
        <v xml:space="preserve"> </v>
      </c>
      <c r="E66" s="780" t="str">
        <f>TEXT(RIGHT(B66,3)-1,"000")&amp;"E"</f>
        <v>010E</v>
      </c>
      <c r="F66" s="780" t="str">
        <f t="shared" ref="F66" si="39">RIGHT(B66,3)&amp;"W"</f>
        <v>011W</v>
      </c>
      <c r="G66" s="995" t="s">
        <v>4922</v>
      </c>
      <c r="H66" s="994">
        <f t="shared" si="34"/>
        <v>43645</v>
      </c>
      <c r="I66" s="994">
        <f t="shared" si="35"/>
        <v>43646</v>
      </c>
      <c r="J66" s="998">
        <f>J65+7</f>
        <v>43648</v>
      </c>
      <c r="K66" s="998">
        <f>J66+12</f>
        <v>43660</v>
      </c>
      <c r="L66" s="994">
        <f t="shared" si="36"/>
        <v>43679</v>
      </c>
      <c r="M66" s="994">
        <f t="shared" si="37"/>
        <v>43682</v>
      </c>
      <c r="N66" s="994">
        <f t="shared" si="38"/>
        <v>43685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2019-05-23T10:24:09Z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